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zwan\DT\IoDT\2023\Mac_Q1 2023\Penerbitan_Dokumen Sebaran\Publication iodt\"/>
    </mc:Choice>
  </mc:AlternateContent>
  <xr:revisionPtr revIDLastSave="0" documentId="13_ncr:1_{EE541F91-C65C-454F-89C6-791B0D05A71E}" xr6:coauthVersionLast="36" xr6:coauthVersionMax="47" xr10:uidLastSave="{00000000-0000-0000-0000-000000000000}"/>
  <bookViews>
    <workbookView xWindow="-105" yWindow="-105" windowWidth="23250" windowHeight="12450" tabRatio="699" activeTab="5" xr2:uid="{00000000-000D-0000-FFFF-FFFF00000000}"/>
  </bookViews>
  <sheets>
    <sheet name="1 " sheetId="186" r:id="rId1"/>
    <sheet name="2" sheetId="166" r:id="rId2"/>
    <sheet name="3" sheetId="167" r:id="rId3"/>
    <sheet name="4" sheetId="168" r:id="rId4"/>
    <sheet name="4 (Samb)" sheetId="189" r:id="rId5"/>
    <sheet name="5A" sheetId="169" r:id="rId6"/>
    <sheet name="5 (Samb. 1)" sheetId="190" r:id="rId7"/>
    <sheet name="5 (Samb. 2)" sheetId="170" r:id="rId8"/>
    <sheet name="DV-IDENTITY-0" sheetId="184" state="veryHidden" r:id="rId9"/>
  </sheets>
  <definedNames>
    <definedName name="_xlnm.Print_Area" localSheetId="1">'2'!$A$1:$J$74</definedName>
    <definedName name="_xlnm.Print_Area" localSheetId="2">'3'!$A$1:$J$76</definedName>
    <definedName name="_xlnm.Print_Area" localSheetId="3">'4'!$A$1:$J$74</definedName>
    <definedName name="_xlnm.Print_Area" localSheetId="4">'4 (Samb)'!$A$1:$H$73</definedName>
    <definedName name="_xlnm.Print_Area" localSheetId="6">'5 (Samb. 1)'!$A$1:$H$74</definedName>
    <definedName name="_xlnm.Print_Area" localSheetId="7">'5 (Samb. 2)'!$A$2:$H$74</definedName>
    <definedName name="_xlnm.Print_Area" localSheetId="5">'5A'!$A$1:$H$76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E12" i="190" l="1"/>
  <c r="G12" i="170"/>
  <c r="E12" i="170"/>
  <c r="C12" i="170"/>
  <c r="G12" i="190"/>
  <c r="C12" i="190"/>
  <c r="G12" i="169"/>
  <c r="E12" i="169"/>
  <c r="C12" i="169"/>
  <c r="G11" i="189"/>
  <c r="E11" i="189"/>
  <c r="C11" i="189"/>
  <c r="I13" i="167"/>
  <c r="G13" i="167"/>
  <c r="E13" i="167"/>
  <c r="C13" i="167"/>
  <c r="I12" i="168"/>
  <c r="G12" i="168"/>
  <c r="E12" i="168"/>
  <c r="C12" i="168"/>
  <c r="ET19" i="184" l="1"/>
  <c r="ES19" i="184"/>
  <c r="ER19" i="184"/>
  <c r="EQ19" i="184"/>
  <c r="EO19" i="184"/>
  <c r="EW19" i="184"/>
  <c r="EV19" i="184"/>
  <c r="GQ32" i="184"/>
  <c r="FF15" i="184"/>
  <c r="FD15" i="184"/>
  <c r="GR53" i="184"/>
  <c r="FQ58" i="184"/>
  <c r="CN27" i="184"/>
  <c r="CQ27" i="184"/>
  <c r="CS27" i="184"/>
  <c r="CT27" i="184"/>
  <c r="IE44" i="184"/>
  <c r="DD45" i="184"/>
  <c r="DO39" i="184"/>
  <c r="A73" i="184"/>
  <c r="B73" i="184"/>
  <c r="C73" i="184"/>
  <c r="D73" i="184"/>
  <c r="E73" i="184"/>
  <c r="F73" i="184"/>
  <c r="G73" i="184"/>
  <c r="H73" i="184"/>
  <c r="I73" i="184"/>
  <c r="J73" i="184"/>
  <c r="K73" i="184"/>
  <c r="L73" i="184"/>
  <c r="M73" i="184"/>
  <c r="N73" i="184"/>
  <c r="O73" i="184"/>
  <c r="P73" i="184"/>
  <c r="Q73" i="184"/>
  <c r="R73" i="184"/>
  <c r="S73" i="184"/>
  <c r="T73" i="184"/>
  <c r="U73" i="184"/>
  <c r="V73" i="184"/>
  <c r="W73" i="184"/>
  <c r="X73" i="184"/>
  <c r="Y73" i="184"/>
  <c r="Z73" i="184"/>
  <c r="AA73" i="184"/>
  <c r="AB73" i="184"/>
  <c r="AC73" i="184"/>
  <c r="AD73" i="184"/>
  <c r="AE73" i="184"/>
  <c r="AF73" i="184"/>
  <c r="AG73" i="184"/>
  <c r="AH73" i="184"/>
  <c r="AI73" i="184"/>
  <c r="AJ73" i="184"/>
  <c r="AK73" i="184"/>
  <c r="AL73" i="184"/>
  <c r="AM73" i="184"/>
  <c r="AN73" i="184"/>
  <c r="AO73" i="184"/>
  <c r="AP73" i="184"/>
  <c r="AQ73" i="184"/>
  <c r="AR73" i="184"/>
  <c r="AS73" i="184"/>
  <c r="AT73" i="184"/>
  <c r="AU73" i="184"/>
  <c r="AV73" i="184"/>
  <c r="AW73" i="184"/>
  <c r="AX73" i="184"/>
  <c r="AY73" i="184"/>
  <c r="AZ73" i="184"/>
  <c r="BA73" i="184"/>
  <c r="BB73" i="184"/>
  <c r="BC73" i="184"/>
  <c r="BD73" i="184"/>
  <c r="BE73" i="184"/>
  <c r="BF73" i="184"/>
  <c r="BG73" i="184"/>
  <c r="BH73" i="184"/>
  <c r="BI73" i="184"/>
  <c r="BJ73" i="184"/>
  <c r="BK73" i="184"/>
  <c r="BL73" i="184"/>
  <c r="BM73" i="184"/>
  <c r="BN73" i="184"/>
  <c r="BO73" i="184"/>
  <c r="BP73" i="184"/>
  <c r="BQ73" i="184"/>
  <c r="BR73" i="184"/>
  <c r="BS73" i="184"/>
  <c r="BT73" i="184"/>
  <c r="BU73" i="184"/>
  <c r="BV73" i="184"/>
  <c r="BW73" i="184"/>
  <c r="BX73" i="184"/>
  <c r="BY73" i="184"/>
  <c r="BZ73" i="184"/>
  <c r="CA73" i="184"/>
  <c r="CB73" i="184"/>
  <c r="CC73" i="184"/>
  <c r="CD73" i="184"/>
  <c r="CE73" i="184"/>
  <c r="CF73" i="184"/>
  <c r="CG73" i="184"/>
  <c r="CH73" i="184"/>
  <c r="CI73" i="184"/>
  <c r="CJ73" i="184"/>
  <c r="CK73" i="184"/>
  <c r="CL73" i="184"/>
  <c r="CM73" i="184"/>
  <c r="CN73" i="184"/>
  <c r="CO73" i="184"/>
  <c r="CP73" i="184"/>
  <c r="CQ73" i="184"/>
  <c r="CR73" i="184"/>
  <c r="CS73" i="184"/>
  <c r="CT73" i="184"/>
  <c r="CU73" i="184"/>
  <c r="CV73" i="184"/>
  <c r="CW73" i="184"/>
  <c r="CX73" i="184"/>
  <c r="CY73" i="184"/>
  <c r="CZ73" i="184"/>
  <c r="DA73" i="184"/>
  <c r="DB73" i="184"/>
  <c r="DC73" i="184"/>
  <c r="DD73" i="184"/>
  <c r="DE73" i="184"/>
  <c r="DF73" i="184"/>
  <c r="DK73" i="184"/>
  <c r="DL73" i="184"/>
  <c r="DM73" i="184"/>
  <c r="DN73" i="184"/>
  <c r="DO73" i="184"/>
  <c r="DP73" i="184"/>
  <c r="DQ73" i="184"/>
  <c r="DR73" i="184"/>
  <c r="DS73" i="184"/>
  <c r="DT73" i="184"/>
  <c r="DU73" i="184"/>
  <c r="DV73" i="184"/>
  <c r="DW73" i="184"/>
  <c r="DX73" i="184"/>
  <c r="DY73" i="184"/>
  <c r="DZ73" i="184"/>
  <c r="A72" i="184"/>
  <c r="B72" i="184"/>
  <c r="C72" i="184"/>
  <c r="D72" i="184"/>
  <c r="E72" i="184"/>
  <c r="F72" i="184"/>
  <c r="G72" i="184"/>
  <c r="H72" i="184"/>
  <c r="I72" i="184"/>
  <c r="J72" i="184"/>
  <c r="K72" i="184"/>
  <c r="L72" i="184"/>
  <c r="M72" i="184"/>
  <c r="N72" i="184"/>
  <c r="O72" i="184"/>
  <c r="P72" i="184"/>
  <c r="Q72" i="184"/>
  <c r="R72" i="184"/>
  <c r="S72" i="184"/>
  <c r="T72" i="184"/>
  <c r="U72" i="184"/>
  <c r="V72" i="184"/>
  <c r="W72" i="184"/>
  <c r="X72" i="184"/>
  <c r="Y72" i="184"/>
  <c r="Z72" i="184"/>
  <c r="AA72" i="184"/>
  <c r="AB72" i="184"/>
  <c r="AC72" i="184"/>
  <c r="AD72" i="184"/>
  <c r="AE72" i="184"/>
  <c r="AF72" i="184"/>
  <c r="AG72" i="184"/>
  <c r="AH72" i="184"/>
  <c r="AI72" i="184"/>
  <c r="AJ72" i="184"/>
  <c r="AK72" i="184"/>
  <c r="AL72" i="184"/>
  <c r="AM72" i="184"/>
  <c r="AN72" i="184"/>
  <c r="AO72" i="184"/>
  <c r="AP72" i="184"/>
  <c r="AQ72" i="184"/>
  <c r="AR72" i="184"/>
  <c r="AS72" i="184"/>
  <c r="AT72" i="184"/>
  <c r="AU72" i="184"/>
  <c r="AV72" i="184"/>
  <c r="AW72" i="184"/>
  <c r="AX72" i="184"/>
  <c r="AY72" i="184"/>
  <c r="AZ72" i="184"/>
  <c r="BA72" i="184"/>
  <c r="BB72" i="184"/>
  <c r="BC72" i="184"/>
  <c r="BD72" i="184"/>
  <c r="BE72" i="184"/>
  <c r="BF72" i="184"/>
  <c r="BG72" i="184"/>
  <c r="BH72" i="184"/>
  <c r="BI72" i="184"/>
  <c r="BJ72" i="184"/>
  <c r="BK72" i="184"/>
  <c r="BL72" i="184"/>
  <c r="BM72" i="184"/>
  <c r="BN72" i="184"/>
  <c r="BO72" i="184"/>
  <c r="BP72" i="184"/>
  <c r="BQ72" i="184"/>
  <c r="BR72" i="184"/>
  <c r="BS72" i="184"/>
  <c r="BT72" i="184"/>
  <c r="BU72" i="184"/>
  <c r="BV72" i="184"/>
  <c r="BW72" i="184"/>
  <c r="BX72" i="184"/>
  <c r="BY72" i="184"/>
  <c r="BZ72" i="184"/>
  <c r="CA72" i="184"/>
  <c r="CB72" i="184"/>
  <c r="CC72" i="184"/>
  <c r="CD72" i="184"/>
  <c r="CE72" i="184"/>
  <c r="CF72" i="184"/>
  <c r="CG72" i="184"/>
  <c r="CH72" i="184"/>
  <c r="CI72" i="184"/>
  <c r="CJ72" i="184"/>
  <c r="CK72" i="184"/>
  <c r="CL72" i="184"/>
  <c r="CM72" i="184"/>
  <c r="CN72" i="184"/>
  <c r="CO72" i="184"/>
  <c r="CP72" i="184"/>
  <c r="CQ72" i="184"/>
  <c r="CR72" i="184"/>
  <c r="CS72" i="184"/>
  <c r="CT72" i="184"/>
  <c r="CU72" i="184"/>
  <c r="CV72" i="184"/>
  <c r="CW72" i="184"/>
  <c r="CX72" i="184"/>
  <c r="CY72" i="184"/>
  <c r="CZ72" i="184"/>
  <c r="DA72" i="184"/>
  <c r="DB72" i="184"/>
  <c r="DC72" i="184"/>
  <c r="DD72" i="184"/>
  <c r="DE72" i="184"/>
  <c r="DF72" i="184"/>
  <c r="DG72" i="184"/>
  <c r="DH72" i="184"/>
  <c r="DI72" i="184"/>
  <c r="DJ72" i="184"/>
  <c r="DK72" i="184"/>
  <c r="DL72" i="184"/>
  <c r="DM72" i="184"/>
  <c r="DN72" i="184"/>
  <c r="DO72" i="184"/>
  <c r="DP72" i="184"/>
  <c r="DQ72" i="184"/>
  <c r="DR72" i="184"/>
  <c r="DS72" i="184"/>
  <c r="DT72" i="184"/>
  <c r="DU72" i="184"/>
  <c r="DV72" i="184"/>
  <c r="DW72" i="184"/>
  <c r="DX72" i="184"/>
  <c r="DY72" i="184"/>
  <c r="DZ72" i="184"/>
  <c r="EA72" i="184"/>
  <c r="EB72" i="184"/>
  <c r="EC72" i="184"/>
  <c r="ED72" i="184"/>
  <c r="EE72" i="184"/>
  <c r="EF72" i="184"/>
  <c r="EG72" i="184"/>
  <c r="EH72" i="184"/>
  <c r="EI72" i="184"/>
  <c r="EJ72" i="184"/>
  <c r="EK72" i="184"/>
  <c r="EL72" i="184"/>
  <c r="EM72" i="184"/>
  <c r="EN72" i="184"/>
  <c r="EO72" i="184"/>
  <c r="EP72" i="184"/>
  <c r="EQ72" i="184"/>
  <c r="ER72" i="184"/>
  <c r="ES72" i="184"/>
  <c r="ET72" i="184"/>
  <c r="EU72" i="184"/>
  <c r="EV72" i="184"/>
  <c r="EW72" i="184"/>
  <c r="EX72" i="184"/>
  <c r="EY72" i="184"/>
  <c r="EZ72" i="184"/>
  <c r="FA72" i="184"/>
  <c r="FB72" i="184"/>
  <c r="FC72" i="184"/>
  <c r="FD72" i="184"/>
  <c r="FE72" i="184"/>
  <c r="FF72" i="184"/>
  <c r="FG72" i="184"/>
  <c r="FH72" i="184"/>
  <c r="FI72" i="184"/>
  <c r="FJ72" i="184"/>
  <c r="FK72" i="184"/>
  <c r="FL72" i="184"/>
  <c r="FM72" i="184"/>
  <c r="FN72" i="184"/>
  <c r="FO72" i="184"/>
  <c r="FP72" i="184"/>
  <c r="FQ72" i="184"/>
  <c r="FR72" i="184"/>
  <c r="FS72" i="184"/>
  <c r="FT72" i="184"/>
  <c r="FU72" i="184"/>
  <c r="FV72" i="184"/>
  <c r="FW72" i="184"/>
  <c r="FX72" i="184"/>
  <c r="FY72" i="184"/>
  <c r="FZ72" i="184"/>
  <c r="GA72" i="184"/>
  <c r="GB72" i="184"/>
  <c r="GC72" i="184"/>
  <c r="GD72" i="184"/>
  <c r="GE72" i="184"/>
  <c r="GF72" i="184"/>
  <c r="GG72" i="184"/>
  <c r="GH72" i="184"/>
  <c r="GI72" i="184"/>
  <c r="GJ72" i="184"/>
  <c r="GK72" i="184"/>
  <c r="GL72" i="184"/>
  <c r="GM72" i="184"/>
  <c r="GN72" i="184"/>
  <c r="GO72" i="184"/>
  <c r="GP72" i="184"/>
  <c r="GQ72" i="184"/>
  <c r="GR72" i="184"/>
  <c r="GS72" i="184"/>
  <c r="GT72" i="184"/>
  <c r="GU72" i="184"/>
  <c r="GV72" i="184"/>
  <c r="GW72" i="184"/>
  <c r="GX72" i="184"/>
  <c r="GY72" i="184"/>
  <c r="GZ72" i="184"/>
  <c r="HA72" i="184"/>
  <c r="HB72" i="184"/>
  <c r="HC72" i="184"/>
  <c r="HD72" i="184"/>
  <c r="HE72" i="184"/>
  <c r="HF72" i="184"/>
  <c r="HG72" i="184"/>
  <c r="HH72" i="184"/>
  <c r="HI72" i="184"/>
  <c r="HJ72" i="184"/>
  <c r="HK72" i="184"/>
  <c r="HL72" i="184"/>
  <c r="HM72" i="184"/>
  <c r="HN72" i="184"/>
  <c r="HO72" i="184"/>
  <c r="HP72" i="184"/>
  <c r="HQ72" i="184"/>
  <c r="HR72" i="184"/>
  <c r="HS72" i="184"/>
  <c r="HT72" i="184"/>
  <c r="HU72" i="184"/>
  <c r="HV72" i="184"/>
  <c r="HW72" i="184"/>
  <c r="HX72" i="184"/>
  <c r="HY72" i="184"/>
  <c r="HZ72" i="184"/>
  <c r="IA72" i="184"/>
  <c r="IB72" i="184"/>
  <c r="IC72" i="184"/>
  <c r="ID72" i="184"/>
  <c r="IE72" i="184"/>
  <c r="IF72" i="184"/>
  <c r="IG72" i="184"/>
  <c r="IH72" i="184"/>
  <c r="II72" i="184"/>
  <c r="IJ72" i="184"/>
  <c r="IK72" i="184"/>
  <c r="IL72" i="184"/>
  <c r="IM72" i="184"/>
  <c r="IN72" i="184"/>
  <c r="IO72" i="184"/>
  <c r="IP72" i="184"/>
  <c r="IQ72" i="184"/>
  <c r="IR72" i="184"/>
  <c r="IS72" i="184"/>
  <c r="IT72" i="184"/>
  <c r="IU72" i="184"/>
  <c r="IV72" i="184"/>
  <c r="A71" i="184"/>
  <c r="B71" i="184"/>
  <c r="C71" i="184"/>
  <c r="D71" i="184"/>
  <c r="E71" i="184"/>
  <c r="F71" i="184"/>
  <c r="G71" i="184"/>
  <c r="H71" i="184"/>
  <c r="I71" i="184"/>
  <c r="J71" i="184"/>
  <c r="K71" i="184"/>
  <c r="L71" i="184"/>
  <c r="M71" i="184"/>
  <c r="N71" i="184"/>
  <c r="O71" i="184"/>
  <c r="P71" i="184"/>
  <c r="Q71" i="184"/>
  <c r="R71" i="184"/>
  <c r="S71" i="184"/>
  <c r="T71" i="184"/>
  <c r="U71" i="184"/>
  <c r="V71" i="184"/>
  <c r="W71" i="184"/>
  <c r="X71" i="184"/>
  <c r="Y71" i="184"/>
  <c r="Z71" i="184"/>
  <c r="AA71" i="184"/>
  <c r="AB71" i="184"/>
  <c r="AC71" i="184"/>
  <c r="AD71" i="184"/>
  <c r="AE71" i="184"/>
  <c r="AF71" i="184"/>
  <c r="AG71" i="184"/>
  <c r="AH71" i="184"/>
  <c r="AI71" i="184"/>
  <c r="AJ71" i="184"/>
  <c r="AK71" i="184"/>
  <c r="AL71" i="184"/>
  <c r="AM71" i="184"/>
  <c r="AN71" i="184"/>
  <c r="AO71" i="184"/>
  <c r="AP71" i="184"/>
  <c r="AQ71" i="184"/>
  <c r="AR71" i="184"/>
  <c r="AS71" i="184"/>
  <c r="AT71" i="184"/>
  <c r="AU71" i="184"/>
  <c r="AV71" i="184"/>
  <c r="AW71" i="184"/>
  <c r="AX71" i="184"/>
  <c r="AY71" i="184"/>
  <c r="AZ71" i="184"/>
  <c r="BA71" i="184"/>
  <c r="BB71" i="184"/>
  <c r="BC71" i="184"/>
  <c r="BD71" i="184"/>
  <c r="BE71" i="184"/>
  <c r="BF71" i="184"/>
  <c r="BG71" i="184"/>
  <c r="BH71" i="184"/>
  <c r="BI71" i="184"/>
  <c r="BJ71" i="184"/>
  <c r="BK71" i="184"/>
  <c r="BL71" i="184"/>
  <c r="BM71" i="184"/>
  <c r="BN71" i="184"/>
  <c r="BO71" i="184"/>
  <c r="BP71" i="184"/>
  <c r="BQ71" i="184"/>
  <c r="BR71" i="184"/>
  <c r="BS71" i="184"/>
  <c r="BT71" i="184"/>
  <c r="BU71" i="184"/>
  <c r="BV71" i="184"/>
  <c r="BW71" i="184"/>
  <c r="BX71" i="184"/>
  <c r="BY71" i="184"/>
  <c r="BZ71" i="184"/>
  <c r="CA71" i="184"/>
  <c r="CB71" i="184"/>
  <c r="CC71" i="184"/>
  <c r="CD71" i="184"/>
  <c r="CE71" i="184"/>
  <c r="CF71" i="184"/>
  <c r="CG71" i="184"/>
  <c r="CH71" i="184"/>
  <c r="CI71" i="184"/>
  <c r="CJ71" i="184"/>
  <c r="CK71" i="184"/>
  <c r="CL71" i="184"/>
  <c r="CM71" i="184"/>
  <c r="CN71" i="184"/>
  <c r="CO71" i="184"/>
  <c r="CP71" i="184"/>
  <c r="CQ71" i="184"/>
  <c r="CR71" i="184"/>
  <c r="CS71" i="184"/>
  <c r="CT71" i="184"/>
  <c r="CU71" i="184"/>
  <c r="CV71" i="184"/>
  <c r="CW71" i="184"/>
  <c r="CX71" i="184"/>
  <c r="CY71" i="184"/>
  <c r="CZ71" i="184"/>
  <c r="DA71" i="184"/>
  <c r="DB71" i="184"/>
  <c r="DC71" i="184"/>
  <c r="DD71" i="184"/>
  <c r="DE71" i="184"/>
  <c r="DF71" i="184"/>
  <c r="DG71" i="184"/>
  <c r="DH71" i="184"/>
  <c r="DI71" i="184"/>
  <c r="DJ71" i="184"/>
  <c r="DK71" i="184"/>
  <c r="DL71" i="184"/>
  <c r="DM71" i="184"/>
  <c r="DN71" i="184"/>
  <c r="DO71" i="184"/>
  <c r="DP71" i="184"/>
  <c r="DQ71" i="184"/>
  <c r="DR71" i="184"/>
  <c r="DS71" i="184"/>
  <c r="DT71" i="184"/>
  <c r="DU71" i="184"/>
  <c r="DV71" i="184"/>
  <c r="DW71" i="184"/>
  <c r="DX71" i="184"/>
  <c r="DY71" i="184"/>
  <c r="DZ71" i="184"/>
  <c r="EA71" i="184"/>
  <c r="EB71" i="184"/>
  <c r="EC71" i="184"/>
  <c r="ED71" i="184"/>
  <c r="EE71" i="184"/>
  <c r="EF71" i="184"/>
  <c r="EG71" i="184"/>
  <c r="EH71" i="184"/>
  <c r="EI71" i="184"/>
  <c r="EJ71" i="184"/>
  <c r="EK71" i="184"/>
  <c r="EL71" i="184"/>
  <c r="EM71" i="184"/>
  <c r="EN71" i="184"/>
  <c r="EO71" i="184"/>
  <c r="EP71" i="184"/>
  <c r="EQ71" i="184"/>
  <c r="ER71" i="184"/>
  <c r="ES71" i="184"/>
  <c r="ET71" i="184"/>
  <c r="EU71" i="184"/>
  <c r="EV71" i="184"/>
  <c r="EW71" i="184"/>
  <c r="EX71" i="184"/>
  <c r="EY71" i="184"/>
  <c r="EZ71" i="184"/>
  <c r="FA71" i="184"/>
  <c r="FB71" i="184"/>
  <c r="FC71" i="184"/>
  <c r="FD71" i="184"/>
  <c r="FE71" i="184"/>
  <c r="FF71" i="184"/>
  <c r="FG71" i="184"/>
  <c r="FH71" i="184"/>
  <c r="FI71" i="184"/>
  <c r="FJ71" i="184"/>
  <c r="FK71" i="184"/>
  <c r="FL71" i="184"/>
  <c r="FM71" i="184"/>
  <c r="FN71" i="184"/>
  <c r="FO71" i="184"/>
  <c r="FP71" i="184"/>
  <c r="FQ71" i="184"/>
  <c r="FR71" i="184"/>
  <c r="FS71" i="184"/>
  <c r="FT71" i="184"/>
  <c r="FU71" i="184"/>
  <c r="FV71" i="184"/>
  <c r="FW71" i="184"/>
  <c r="FX71" i="184"/>
  <c r="FY71" i="184"/>
  <c r="FZ71" i="184"/>
  <c r="GA71" i="184"/>
  <c r="GB71" i="184"/>
  <c r="GC71" i="184"/>
  <c r="GD71" i="184"/>
  <c r="GE71" i="184"/>
  <c r="GF71" i="184"/>
  <c r="GG71" i="184"/>
  <c r="GH71" i="184"/>
  <c r="GI71" i="184"/>
  <c r="GJ71" i="184"/>
  <c r="GK71" i="184"/>
  <c r="GL71" i="184"/>
  <c r="GM71" i="184"/>
  <c r="GN71" i="184"/>
  <c r="GO71" i="184"/>
  <c r="GP71" i="184"/>
  <c r="GQ71" i="184"/>
  <c r="GR71" i="184"/>
  <c r="GS71" i="184"/>
  <c r="GT71" i="184"/>
  <c r="GU71" i="184"/>
  <c r="GV71" i="184"/>
  <c r="GW71" i="184"/>
  <c r="GX71" i="184"/>
  <c r="GY71" i="184"/>
  <c r="GZ71" i="184"/>
  <c r="HA71" i="184"/>
  <c r="HB71" i="184"/>
  <c r="HC71" i="184"/>
  <c r="HD71" i="184"/>
  <c r="HE71" i="184"/>
  <c r="HF71" i="184"/>
  <c r="HG71" i="184"/>
  <c r="HH71" i="184"/>
  <c r="HI71" i="184"/>
  <c r="HJ71" i="184"/>
  <c r="HK71" i="184"/>
  <c r="HL71" i="184"/>
  <c r="HM71" i="184"/>
  <c r="HN71" i="184"/>
  <c r="HO71" i="184"/>
  <c r="HP71" i="184"/>
  <c r="HQ71" i="184"/>
  <c r="HR71" i="184"/>
  <c r="HS71" i="184"/>
  <c r="HT71" i="184"/>
  <c r="HU71" i="184"/>
  <c r="HV71" i="184"/>
  <c r="HW71" i="184"/>
  <c r="HX71" i="184"/>
  <c r="HY71" i="184"/>
  <c r="HZ71" i="184"/>
  <c r="IA71" i="184"/>
  <c r="IB71" i="184"/>
  <c r="IC71" i="184"/>
  <c r="ID71" i="184"/>
  <c r="IE71" i="184"/>
  <c r="IF71" i="184"/>
  <c r="IG71" i="184"/>
  <c r="IH71" i="184"/>
  <c r="II71" i="184"/>
  <c r="IJ71" i="184"/>
  <c r="IK71" i="184"/>
  <c r="IL71" i="184"/>
  <c r="IM71" i="184"/>
  <c r="IN71" i="184"/>
  <c r="IO71" i="184"/>
  <c r="IP71" i="184"/>
  <c r="IQ71" i="184"/>
  <c r="IR71" i="184"/>
  <c r="IS71" i="184"/>
  <c r="IT71" i="184"/>
  <c r="IU71" i="184"/>
  <c r="IV71" i="184"/>
  <c r="A70" i="184"/>
  <c r="B70" i="184"/>
  <c r="C70" i="184"/>
  <c r="D70" i="184"/>
  <c r="E70" i="184"/>
  <c r="F70" i="184"/>
  <c r="G70" i="184"/>
  <c r="H70" i="184"/>
  <c r="I70" i="184"/>
  <c r="J70" i="184"/>
  <c r="K70" i="184"/>
  <c r="L70" i="184"/>
  <c r="M70" i="184"/>
  <c r="N70" i="184"/>
  <c r="O70" i="184"/>
  <c r="P70" i="184"/>
  <c r="Q70" i="184"/>
  <c r="R70" i="184"/>
  <c r="S70" i="184"/>
  <c r="T70" i="184"/>
  <c r="U70" i="184"/>
  <c r="V70" i="184"/>
  <c r="W70" i="184"/>
  <c r="X70" i="184"/>
  <c r="Y70" i="184"/>
  <c r="Z70" i="184"/>
  <c r="AA70" i="184"/>
  <c r="AB70" i="184"/>
  <c r="AC70" i="184"/>
  <c r="AD70" i="184"/>
  <c r="AE70" i="184"/>
  <c r="AF70" i="184"/>
  <c r="AG70" i="184"/>
  <c r="AH70" i="184"/>
  <c r="AI70" i="184"/>
  <c r="AJ70" i="184"/>
  <c r="AK70" i="184"/>
  <c r="AL70" i="184"/>
  <c r="AM70" i="184"/>
  <c r="AN70" i="184"/>
  <c r="AO70" i="184"/>
  <c r="AP70" i="184"/>
  <c r="AQ70" i="184"/>
  <c r="AR70" i="184"/>
  <c r="AS70" i="184"/>
  <c r="AT70" i="184"/>
  <c r="AU70" i="184"/>
  <c r="AV70" i="184"/>
  <c r="AW70" i="184"/>
  <c r="AX70" i="184"/>
  <c r="AY70" i="184"/>
  <c r="AZ70" i="184"/>
  <c r="BA70" i="184"/>
  <c r="BB70" i="184"/>
  <c r="BC70" i="184"/>
  <c r="BD70" i="184"/>
  <c r="BE70" i="184"/>
  <c r="BF70" i="184"/>
  <c r="BG70" i="184"/>
  <c r="BH70" i="184"/>
  <c r="BI70" i="184"/>
  <c r="BJ70" i="184"/>
  <c r="BK70" i="184"/>
  <c r="BL70" i="184"/>
  <c r="BM70" i="184"/>
  <c r="BN70" i="184"/>
  <c r="BO70" i="184"/>
  <c r="BP70" i="184"/>
  <c r="BQ70" i="184"/>
  <c r="BR70" i="184"/>
  <c r="BS70" i="184"/>
  <c r="BT70" i="184"/>
  <c r="BU70" i="184"/>
  <c r="BV70" i="184"/>
  <c r="BW70" i="184"/>
  <c r="BX70" i="184"/>
  <c r="BY70" i="184"/>
  <c r="BZ70" i="184"/>
  <c r="CA70" i="184"/>
  <c r="CB70" i="184"/>
  <c r="CC70" i="184"/>
  <c r="CD70" i="184"/>
  <c r="CE70" i="184"/>
  <c r="CF70" i="184"/>
  <c r="CG70" i="184"/>
  <c r="CH70" i="184"/>
  <c r="CI70" i="184"/>
  <c r="CJ70" i="184"/>
  <c r="CK70" i="184"/>
  <c r="CL70" i="184"/>
  <c r="CM70" i="184"/>
  <c r="CN70" i="184"/>
  <c r="CO70" i="184"/>
  <c r="CP70" i="184"/>
  <c r="CQ70" i="184"/>
  <c r="CR70" i="184"/>
  <c r="CS70" i="184"/>
  <c r="CT70" i="184"/>
  <c r="CU70" i="184"/>
  <c r="CV70" i="184"/>
  <c r="CW70" i="184"/>
  <c r="CX70" i="184"/>
  <c r="CY70" i="184"/>
  <c r="CZ70" i="184"/>
  <c r="DA70" i="184"/>
  <c r="DB70" i="184"/>
  <c r="DC70" i="184"/>
  <c r="DD70" i="184"/>
  <c r="DE70" i="184"/>
  <c r="DF70" i="184"/>
  <c r="DG70" i="184"/>
  <c r="DH70" i="184"/>
  <c r="DI70" i="184"/>
  <c r="DJ70" i="184"/>
  <c r="DK70" i="184"/>
  <c r="DL70" i="184"/>
  <c r="DM70" i="184"/>
  <c r="DN70" i="184"/>
  <c r="DO70" i="184"/>
  <c r="DP70" i="184"/>
  <c r="DQ70" i="184"/>
  <c r="DR70" i="184"/>
  <c r="DS70" i="184"/>
  <c r="DT70" i="184"/>
  <c r="DU70" i="184"/>
  <c r="DV70" i="184"/>
  <c r="DW70" i="184"/>
  <c r="DX70" i="184"/>
  <c r="DY70" i="184"/>
  <c r="DZ70" i="184"/>
  <c r="EA70" i="184"/>
  <c r="EB70" i="184"/>
  <c r="EC70" i="184"/>
  <c r="ED70" i="184"/>
  <c r="EE70" i="184"/>
  <c r="EF70" i="184"/>
  <c r="EG70" i="184"/>
  <c r="EH70" i="184"/>
  <c r="EI70" i="184"/>
  <c r="EJ70" i="184"/>
  <c r="EK70" i="184"/>
  <c r="EL70" i="184"/>
  <c r="EM70" i="184"/>
  <c r="EN70" i="184"/>
  <c r="EO70" i="184"/>
  <c r="EP70" i="184"/>
  <c r="EQ70" i="184"/>
  <c r="ER70" i="184"/>
  <c r="ES70" i="184"/>
  <c r="ET70" i="184"/>
  <c r="EU70" i="184"/>
  <c r="EV70" i="184"/>
  <c r="EW70" i="184"/>
  <c r="EX70" i="184"/>
  <c r="EY70" i="184"/>
  <c r="EZ70" i="184"/>
  <c r="FA70" i="184"/>
  <c r="FB70" i="184"/>
  <c r="FC70" i="184"/>
  <c r="FD70" i="184"/>
  <c r="FE70" i="184"/>
  <c r="FF70" i="184"/>
  <c r="FG70" i="184"/>
  <c r="FH70" i="184"/>
  <c r="FI70" i="184"/>
  <c r="FJ70" i="184"/>
  <c r="FK70" i="184"/>
  <c r="FL70" i="184"/>
  <c r="FM70" i="184"/>
  <c r="FN70" i="184"/>
  <c r="FO70" i="184"/>
  <c r="FP70" i="184"/>
  <c r="FQ70" i="184"/>
  <c r="FR70" i="184"/>
  <c r="FS70" i="184"/>
  <c r="FT70" i="184"/>
  <c r="FU70" i="184"/>
  <c r="FV70" i="184"/>
  <c r="FW70" i="184"/>
  <c r="FX70" i="184"/>
  <c r="FY70" i="184"/>
  <c r="FZ70" i="184"/>
  <c r="GA70" i="184"/>
  <c r="GB70" i="184"/>
  <c r="GC70" i="184"/>
  <c r="GD70" i="184"/>
  <c r="GE70" i="184"/>
  <c r="GF70" i="184"/>
  <c r="GG70" i="184"/>
  <c r="GH70" i="184"/>
  <c r="GI70" i="184"/>
  <c r="GJ70" i="184"/>
  <c r="GK70" i="184"/>
  <c r="GL70" i="184"/>
  <c r="GM70" i="184"/>
  <c r="GN70" i="184"/>
  <c r="GO70" i="184"/>
  <c r="GP70" i="184"/>
  <c r="GQ70" i="184"/>
  <c r="GR70" i="184"/>
  <c r="GS70" i="184"/>
  <c r="GT70" i="184"/>
  <c r="GU70" i="184"/>
  <c r="GV70" i="184"/>
  <c r="GW70" i="184"/>
  <c r="GX70" i="184"/>
  <c r="GY70" i="184"/>
  <c r="GZ70" i="184"/>
  <c r="HA70" i="184"/>
  <c r="HB70" i="184"/>
  <c r="HC70" i="184"/>
  <c r="HD70" i="184"/>
  <c r="HE70" i="184"/>
  <c r="HF70" i="184"/>
  <c r="HG70" i="184"/>
  <c r="HH70" i="184"/>
  <c r="HI70" i="184"/>
  <c r="HJ70" i="184"/>
  <c r="HK70" i="184"/>
  <c r="HL70" i="184"/>
  <c r="HM70" i="184"/>
  <c r="HN70" i="184"/>
  <c r="HO70" i="184"/>
  <c r="HP70" i="184"/>
  <c r="HQ70" i="184"/>
  <c r="HR70" i="184"/>
  <c r="HS70" i="184"/>
  <c r="HT70" i="184"/>
  <c r="HU70" i="184"/>
  <c r="HV70" i="184"/>
  <c r="HW70" i="184"/>
  <c r="HX70" i="184"/>
  <c r="HY70" i="184"/>
  <c r="HZ70" i="184"/>
  <c r="IA70" i="184"/>
  <c r="IB70" i="184"/>
  <c r="IC70" i="184"/>
  <c r="ID70" i="184"/>
  <c r="IE70" i="184"/>
  <c r="IF70" i="184"/>
  <c r="IG70" i="184"/>
  <c r="IH70" i="184"/>
  <c r="II70" i="184"/>
  <c r="IJ70" i="184"/>
  <c r="IK70" i="184"/>
  <c r="IL70" i="184"/>
  <c r="IM70" i="184"/>
  <c r="IN70" i="184"/>
  <c r="IO70" i="184"/>
  <c r="IP70" i="184"/>
  <c r="IQ70" i="184"/>
  <c r="IR70" i="184"/>
  <c r="IS70" i="184"/>
  <c r="IT70" i="184"/>
  <c r="IU70" i="184"/>
  <c r="IV70" i="184"/>
  <c r="A69" i="184"/>
  <c r="B69" i="184"/>
  <c r="C69" i="184"/>
  <c r="D69" i="184"/>
  <c r="E69" i="184"/>
  <c r="F69" i="184"/>
  <c r="G69" i="184"/>
  <c r="H69" i="184"/>
  <c r="I69" i="184"/>
  <c r="J69" i="184"/>
  <c r="K69" i="184"/>
  <c r="L69" i="184"/>
  <c r="M69" i="184"/>
  <c r="N69" i="184"/>
  <c r="O69" i="184"/>
  <c r="P69" i="184"/>
  <c r="Q69" i="184"/>
  <c r="R69" i="184"/>
  <c r="S69" i="184"/>
  <c r="T69" i="184"/>
  <c r="U69" i="184"/>
  <c r="V69" i="184"/>
  <c r="W69" i="184"/>
  <c r="X69" i="184"/>
  <c r="Y69" i="184"/>
  <c r="Z69" i="184"/>
  <c r="AA69" i="184"/>
  <c r="AB69" i="184"/>
  <c r="AC69" i="184"/>
  <c r="AD69" i="184"/>
  <c r="AE69" i="184"/>
  <c r="AF69" i="184"/>
  <c r="AG69" i="184"/>
  <c r="AH69" i="184"/>
  <c r="AI69" i="184"/>
  <c r="AJ69" i="184"/>
  <c r="AK69" i="184"/>
  <c r="AL69" i="184"/>
  <c r="AM69" i="184"/>
  <c r="AN69" i="184"/>
  <c r="AO69" i="184"/>
  <c r="AP69" i="184"/>
  <c r="AQ69" i="184"/>
  <c r="AR69" i="184"/>
  <c r="AS69" i="184"/>
  <c r="AT69" i="184"/>
  <c r="AU69" i="184"/>
  <c r="AV69" i="184"/>
  <c r="AW69" i="184"/>
  <c r="AX69" i="184"/>
  <c r="AY69" i="184"/>
  <c r="AZ69" i="184"/>
  <c r="BA69" i="184"/>
  <c r="BB69" i="184"/>
  <c r="BC69" i="184"/>
  <c r="BD69" i="184"/>
  <c r="BE69" i="184"/>
  <c r="BF69" i="184"/>
  <c r="BG69" i="184"/>
  <c r="BH69" i="184"/>
  <c r="BI69" i="184"/>
  <c r="BJ69" i="184"/>
  <c r="BK69" i="184"/>
  <c r="BL69" i="184"/>
  <c r="BM69" i="184"/>
  <c r="BN69" i="184"/>
  <c r="BO69" i="184"/>
  <c r="BP69" i="184"/>
  <c r="BQ69" i="184"/>
  <c r="BR69" i="184"/>
  <c r="BS69" i="184"/>
  <c r="BT69" i="184"/>
  <c r="BU69" i="184"/>
  <c r="BV69" i="184"/>
  <c r="BW69" i="184"/>
  <c r="BX69" i="184"/>
  <c r="BY69" i="184"/>
  <c r="BZ69" i="184"/>
  <c r="CA69" i="184"/>
  <c r="CB69" i="184"/>
  <c r="CC69" i="184"/>
  <c r="CD69" i="184"/>
  <c r="CE69" i="184"/>
  <c r="CF69" i="184"/>
  <c r="CG69" i="184"/>
  <c r="CH69" i="184"/>
  <c r="CI69" i="184"/>
  <c r="CJ69" i="184"/>
  <c r="CK69" i="184"/>
  <c r="CL69" i="184"/>
  <c r="CM69" i="184"/>
  <c r="CN69" i="184"/>
  <c r="CO69" i="184"/>
  <c r="CP69" i="184"/>
  <c r="CQ69" i="184"/>
  <c r="CR69" i="184"/>
  <c r="CS69" i="184"/>
  <c r="CT69" i="184"/>
  <c r="CU69" i="184"/>
  <c r="CV69" i="184"/>
  <c r="CW69" i="184"/>
  <c r="CX69" i="184"/>
  <c r="CY69" i="184"/>
  <c r="CZ69" i="184"/>
  <c r="DA69" i="184"/>
  <c r="DB69" i="184"/>
  <c r="DC69" i="184"/>
  <c r="DD69" i="184"/>
  <c r="DE69" i="184"/>
  <c r="DF69" i="184"/>
  <c r="DG69" i="184"/>
  <c r="DH69" i="184"/>
  <c r="DI69" i="184"/>
  <c r="DJ69" i="184"/>
  <c r="DK69" i="184"/>
  <c r="DL69" i="184"/>
  <c r="DM69" i="184"/>
  <c r="DN69" i="184"/>
  <c r="DO69" i="184"/>
  <c r="DP69" i="184"/>
  <c r="DQ69" i="184"/>
  <c r="DR69" i="184"/>
  <c r="DS69" i="184"/>
  <c r="DT69" i="184"/>
  <c r="DU69" i="184"/>
  <c r="DV69" i="184"/>
  <c r="DW69" i="184"/>
  <c r="DX69" i="184"/>
  <c r="DY69" i="184"/>
  <c r="DZ69" i="184"/>
  <c r="EA69" i="184"/>
  <c r="EB69" i="184"/>
  <c r="EC69" i="184"/>
  <c r="ED69" i="184"/>
  <c r="EE69" i="184"/>
  <c r="EF69" i="184"/>
  <c r="EG69" i="184"/>
  <c r="EH69" i="184"/>
  <c r="EI69" i="184"/>
  <c r="EJ69" i="184"/>
  <c r="EK69" i="184"/>
  <c r="EL69" i="184"/>
  <c r="EM69" i="184"/>
  <c r="EN69" i="184"/>
  <c r="EO69" i="184"/>
  <c r="EP69" i="184"/>
  <c r="EQ69" i="184"/>
  <c r="ER69" i="184"/>
  <c r="ES69" i="184"/>
  <c r="ET69" i="184"/>
  <c r="EU69" i="184"/>
  <c r="EV69" i="184"/>
  <c r="EW69" i="184"/>
  <c r="EX69" i="184"/>
  <c r="EY69" i="184"/>
  <c r="EZ69" i="184"/>
  <c r="FA69" i="184"/>
  <c r="FB69" i="184"/>
  <c r="FC69" i="184"/>
  <c r="FD69" i="184"/>
  <c r="FE69" i="184"/>
  <c r="FF69" i="184"/>
  <c r="FG69" i="184"/>
  <c r="FH69" i="184"/>
  <c r="FI69" i="184"/>
  <c r="FJ69" i="184"/>
  <c r="FK69" i="184"/>
  <c r="FL69" i="184"/>
  <c r="FM69" i="184"/>
  <c r="FN69" i="184"/>
  <c r="FO69" i="184"/>
  <c r="FP69" i="184"/>
  <c r="FQ69" i="184"/>
  <c r="FR69" i="184"/>
  <c r="FS69" i="184"/>
  <c r="FT69" i="184"/>
  <c r="FU69" i="184"/>
  <c r="FV69" i="184"/>
  <c r="FW69" i="184"/>
  <c r="FX69" i="184"/>
  <c r="FY69" i="184"/>
  <c r="FZ69" i="184"/>
  <c r="GA69" i="184"/>
  <c r="GB69" i="184"/>
  <c r="GC69" i="184"/>
  <c r="GD69" i="184"/>
  <c r="GE69" i="184"/>
  <c r="GF69" i="184"/>
  <c r="GG69" i="184"/>
  <c r="GH69" i="184"/>
  <c r="GI69" i="184"/>
  <c r="GJ69" i="184"/>
  <c r="GK69" i="184"/>
  <c r="GL69" i="184"/>
  <c r="GM69" i="184"/>
  <c r="GN69" i="184"/>
  <c r="GO69" i="184"/>
  <c r="GP69" i="184"/>
  <c r="GQ69" i="184"/>
  <c r="GR69" i="184"/>
  <c r="GS69" i="184"/>
  <c r="GT69" i="184"/>
  <c r="GU69" i="184"/>
  <c r="GV69" i="184"/>
  <c r="GW69" i="184"/>
  <c r="GX69" i="184"/>
  <c r="GY69" i="184"/>
  <c r="GZ69" i="184"/>
  <c r="HA69" i="184"/>
  <c r="HB69" i="184"/>
  <c r="HC69" i="184"/>
  <c r="HD69" i="184"/>
  <c r="HE69" i="184"/>
  <c r="HF69" i="184"/>
  <c r="HG69" i="184"/>
  <c r="HH69" i="184"/>
  <c r="HI69" i="184"/>
  <c r="HJ69" i="184"/>
  <c r="HK69" i="184"/>
  <c r="HL69" i="184"/>
  <c r="HM69" i="184"/>
  <c r="HN69" i="184"/>
  <c r="HO69" i="184"/>
  <c r="HP69" i="184"/>
  <c r="HQ69" i="184"/>
  <c r="HR69" i="184"/>
  <c r="HS69" i="184"/>
  <c r="HT69" i="184"/>
  <c r="HU69" i="184"/>
  <c r="HV69" i="184"/>
  <c r="HW69" i="184"/>
  <c r="HX69" i="184"/>
  <c r="HY69" i="184"/>
  <c r="HZ69" i="184"/>
  <c r="IA69" i="184"/>
  <c r="IB69" i="184"/>
  <c r="IC69" i="184"/>
  <c r="ID69" i="184"/>
  <c r="IE69" i="184"/>
  <c r="IF69" i="184"/>
  <c r="IG69" i="184"/>
  <c r="IH69" i="184"/>
  <c r="II69" i="184"/>
  <c r="IJ69" i="184"/>
  <c r="IK69" i="184"/>
  <c r="IL69" i="184"/>
  <c r="IM69" i="184"/>
  <c r="IN69" i="184"/>
  <c r="IO69" i="184"/>
  <c r="IP69" i="184"/>
  <c r="IQ69" i="184"/>
  <c r="IR69" i="184"/>
  <c r="IS69" i="184"/>
  <c r="IT69" i="184"/>
  <c r="IU69" i="184"/>
  <c r="IV69" i="184"/>
  <c r="A68" i="184"/>
  <c r="B68" i="184"/>
  <c r="C68" i="184"/>
  <c r="D68" i="184"/>
  <c r="E68" i="184"/>
  <c r="F68" i="184"/>
  <c r="G68" i="184"/>
  <c r="H68" i="184"/>
  <c r="I68" i="184"/>
  <c r="J68" i="184"/>
  <c r="K68" i="184"/>
  <c r="L68" i="184"/>
  <c r="M68" i="184"/>
  <c r="N68" i="184"/>
  <c r="O68" i="184"/>
  <c r="P68" i="184"/>
  <c r="Q68" i="184"/>
  <c r="R68" i="184"/>
  <c r="S68" i="184"/>
  <c r="T68" i="184"/>
  <c r="U68" i="184"/>
  <c r="V68" i="184"/>
  <c r="W68" i="184"/>
  <c r="X68" i="184"/>
  <c r="Y68" i="184"/>
  <c r="Z68" i="184"/>
  <c r="AA68" i="184"/>
  <c r="AB68" i="184"/>
  <c r="AC68" i="184"/>
  <c r="AD68" i="184"/>
  <c r="AE68" i="184"/>
  <c r="AF68" i="184"/>
  <c r="AG68" i="184"/>
  <c r="AH68" i="184"/>
  <c r="AI68" i="184"/>
  <c r="AJ68" i="184"/>
  <c r="AK68" i="184"/>
  <c r="AL68" i="184"/>
  <c r="AM68" i="184"/>
  <c r="AN68" i="184"/>
  <c r="AO68" i="184"/>
  <c r="AP68" i="184"/>
  <c r="AQ68" i="184"/>
  <c r="AR68" i="184"/>
  <c r="AS68" i="184"/>
  <c r="AT68" i="184"/>
  <c r="AU68" i="184"/>
  <c r="AV68" i="184"/>
  <c r="AW68" i="184"/>
  <c r="AX68" i="184"/>
  <c r="AY68" i="184"/>
  <c r="AZ68" i="184"/>
  <c r="BA68" i="184"/>
  <c r="BB68" i="184"/>
  <c r="BC68" i="184"/>
  <c r="BD68" i="184"/>
  <c r="BE68" i="184"/>
  <c r="BF68" i="184"/>
  <c r="BG68" i="184"/>
  <c r="BH68" i="184"/>
  <c r="BI68" i="184"/>
  <c r="BJ68" i="184"/>
  <c r="BK68" i="184"/>
  <c r="BL68" i="184"/>
  <c r="BM68" i="184"/>
  <c r="BN68" i="184"/>
  <c r="BO68" i="184"/>
  <c r="BP68" i="184"/>
  <c r="BQ68" i="184"/>
  <c r="BR68" i="184"/>
  <c r="BS68" i="184"/>
  <c r="BT68" i="184"/>
  <c r="BU68" i="184"/>
  <c r="BV68" i="184"/>
  <c r="BW68" i="184"/>
  <c r="BX68" i="184"/>
  <c r="BY68" i="184"/>
  <c r="BZ68" i="184"/>
  <c r="CA68" i="184"/>
  <c r="CB68" i="184"/>
  <c r="CC68" i="184"/>
  <c r="CD68" i="184"/>
  <c r="CE68" i="184"/>
  <c r="CF68" i="184"/>
  <c r="CG68" i="184"/>
  <c r="CH68" i="184"/>
  <c r="CI68" i="184"/>
  <c r="CJ68" i="184"/>
  <c r="CK68" i="184"/>
  <c r="CL68" i="184"/>
  <c r="CM68" i="184"/>
  <c r="CN68" i="184"/>
  <c r="CO68" i="184"/>
  <c r="CP68" i="184"/>
  <c r="CQ68" i="184"/>
  <c r="CR68" i="184"/>
  <c r="CS68" i="184"/>
  <c r="CT68" i="184"/>
  <c r="CU68" i="184"/>
  <c r="CV68" i="184"/>
  <c r="CW68" i="184"/>
  <c r="CX68" i="184"/>
  <c r="CY68" i="184"/>
  <c r="CZ68" i="184"/>
  <c r="DA68" i="184"/>
  <c r="DB68" i="184"/>
  <c r="DC68" i="184"/>
  <c r="DD68" i="184"/>
  <c r="DE68" i="184"/>
  <c r="DF68" i="184"/>
  <c r="DG68" i="184"/>
  <c r="DH68" i="184"/>
  <c r="DI68" i="184"/>
  <c r="DJ68" i="184"/>
  <c r="DK68" i="184"/>
  <c r="DL68" i="184"/>
  <c r="DM68" i="184"/>
  <c r="DN68" i="184"/>
  <c r="DO68" i="184"/>
  <c r="DP68" i="184"/>
  <c r="DQ68" i="184"/>
  <c r="DR68" i="184"/>
  <c r="DS68" i="184"/>
  <c r="DT68" i="184"/>
  <c r="DU68" i="184"/>
  <c r="DV68" i="184"/>
  <c r="DW68" i="184"/>
  <c r="DX68" i="184"/>
  <c r="DY68" i="184"/>
  <c r="DZ68" i="184"/>
  <c r="EA68" i="184"/>
  <c r="EB68" i="184"/>
  <c r="EC68" i="184"/>
  <c r="ED68" i="184"/>
  <c r="EE68" i="184"/>
  <c r="EF68" i="184"/>
  <c r="EG68" i="184"/>
  <c r="EH68" i="184"/>
  <c r="EI68" i="184"/>
  <c r="EJ68" i="184"/>
  <c r="EK68" i="184"/>
  <c r="EL68" i="184"/>
  <c r="EM68" i="184"/>
  <c r="EN68" i="184"/>
  <c r="EO68" i="184"/>
  <c r="EP68" i="184"/>
  <c r="EQ68" i="184"/>
  <c r="ER68" i="184"/>
  <c r="ES68" i="184"/>
  <c r="ET68" i="184"/>
  <c r="EU68" i="184"/>
  <c r="EV68" i="184"/>
  <c r="EW68" i="184"/>
  <c r="EX68" i="184"/>
  <c r="EY68" i="184"/>
  <c r="EZ68" i="184"/>
  <c r="FA68" i="184"/>
  <c r="FB68" i="184"/>
  <c r="FC68" i="184"/>
  <c r="FD68" i="184"/>
  <c r="FE68" i="184"/>
  <c r="FF68" i="184"/>
  <c r="FG68" i="184"/>
  <c r="FH68" i="184"/>
  <c r="FI68" i="184"/>
  <c r="FJ68" i="184"/>
  <c r="FK68" i="184"/>
  <c r="FL68" i="184"/>
  <c r="FM68" i="184"/>
  <c r="FN68" i="184"/>
  <c r="FO68" i="184"/>
  <c r="FP68" i="184"/>
  <c r="FQ68" i="184"/>
  <c r="FR68" i="184"/>
  <c r="FS68" i="184"/>
  <c r="FT68" i="184"/>
  <c r="FU68" i="184"/>
  <c r="FV68" i="184"/>
  <c r="FW68" i="184"/>
  <c r="FX68" i="184"/>
  <c r="FY68" i="184"/>
  <c r="FZ68" i="184"/>
  <c r="GA68" i="184"/>
  <c r="GB68" i="184"/>
  <c r="GC68" i="184"/>
  <c r="GD68" i="184"/>
  <c r="GE68" i="184"/>
  <c r="GF68" i="184"/>
  <c r="GG68" i="184"/>
  <c r="GH68" i="184"/>
  <c r="GI68" i="184"/>
  <c r="GJ68" i="184"/>
  <c r="GK68" i="184"/>
  <c r="GL68" i="184"/>
  <c r="GM68" i="184"/>
  <c r="GN68" i="184"/>
  <c r="GO68" i="184"/>
  <c r="GP68" i="184"/>
  <c r="GQ68" i="184"/>
  <c r="GR68" i="184"/>
  <c r="GS68" i="184"/>
  <c r="GT68" i="184"/>
  <c r="GU68" i="184"/>
  <c r="GV68" i="184"/>
  <c r="GW68" i="184"/>
  <c r="GX68" i="184"/>
  <c r="GY68" i="184"/>
  <c r="GZ68" i="184"/>
  <c r="HA68" i="184"/>
  <c r="HB68" i="184"/>
  <c r="HC68" i="184"/>
  <c r="HD68" i="184"/>
  <c r="HE68" i="184"/>
  <c r="HF68" i="184"/>
  <c r="HG68" i="184"/>
  <c r="HH68" i="184"/>
  <c r="HI68" i="184"/>
  <c r="HJ68" i="184"/>
  <c r="HK68" i="184"/>
  <c r="HL68" i="184"/>
  <c r="HM68" i="184"/>
  <c r="HN68" i="184"/>
  <c r="HO68" i="184"/>
  <c r="HP68" i="184"/>
  <c r="HQ68" i="184"/>
  <c r="HR68" i="184"/>
  <c r="HS68" i="184"/>
  <c r="HT68" i="184"/>
  <c r="HU68" i="184"/>
  <c r="HV68" i="184"/>
  <c r="HW68" i="184"/>
  <c r="HX68" i="184"/>
  <c r="HY68" i="184"/>
  <c r="HZ68" i="184"/>
  <c r="IA68" i="184"/>
  <c r="IB68" i="184"/>
  <c r="IC68" i="184"/>
  <c r="ID68" i="184"/>
  <c r="IE68" i="184"/>
  <c r="IF68" i="184"/>
  <c r="IG68" i="184"/>
  <c r="IH68" i="184"/>
  <c r="II68" i="184"/>
  <c r="IJ68" i="184"/>
  <c r="IK68" i="184"/>
  <c r="IL68" i="184"/>
  <c r="IM68" i="184"/>
  <c r="IN68" i="184"/>
  <c r="IO68" i="184"/>
  <c r="IP68" i="184"/>
  <c r="IQ68" i="184"/>
  <c r="IR68" i="184"/>
  <c r="IS68" i="184"/>
  <c r="IT68" i="184"/>
  <c r="IU68" i="184"/>
  <c r="IV68" i="184"/>
  <c r="A67" i="184"/>
  <c r="B67" i="184"/>
  <c r="C67" i="184"/>
  <c r="D67" i="184"/>
  <c r="E67" i="184"/>
  <c r="F67" i="184"/>
  <c r="G67" i="184"/>
  <c r="H67" i="184"/>
  <c r="I67" i="184"/>
  <c r="J67" i="184"/>
  <c r="K67" i="184"/>
  <c r="L67" i="184"/>
  <c r="M67" i="184"/>
  <c r="N67" i="184"/>
  <c r="O67" i="184"/>
  <c r="P67" i="184"/>
  <c r="R67" i="184"/>
  <c r="S67" i="184"/>
  <c r="T67" i="184"/>
  <c r="U67" i="184"/>
  <c r="V67" i="184"/>
  <c r="W67" i="184"/>
  <c r="X67" i="184"/>
  <c r="Y67" i="184"/>
  <c r="Z67" i="184"/>
  <c r="AA67" i="184"/>
  <c r="AB67" i="184"/>
  <c r="AC67" i="184"/>
  <c r="AD67" i="184"/>
  <c r="AE67" i="184"/>
  <c r="AF67" i="184"/>
  <c r="AG67" i="184"/>
  <c r="AH67" i="184"/>
  <c r="AI67" i="184"/>
  <c r="AJ67" i="184"/>
  <c r="AK67" i="184"/>
  <c r="AL67" i="184"/>
  <c r="AM67" i="184"/>
  <c r="AN67" i="184"/>
  <c r="AO67" i="184"/>
  <c r="AP67" i="184"/>
  <c r="AQ67" i="184"/>
  <c r="AR67" i="184"/>
  <c r="AS67" i="184"/>
  <c r="AT67" i="184"/>
  <c r="AU67" i="184"/>
  <c r="AV67" i="184"/>
  <c r="AW67" i="184"/>
  <c r="AX67" i="184"/>
  <c r="AY67" i="184"/>
  <c r="AZ67" i="184"/>
  <c r="BA67" i="184"/>
  <c r="BB67" i="184"/>
  <c r="BC67" i="184"/>
  <c r="BD67" i="184"/>
  <c r="BE67" i="184"/>
  <c r="BF67" i="184"/>
  <c r="BG67" i="184"/>
  <c r="BH67" i="184"/>
  <c r="BI67" i="184"/>
  <c r="BJ67" i="184"/>
  <c r="BK67" i="184"/>
  <c r="BL67" i="184"/>
  <c r="BM67" i="184"/>
  <c r="BN67" i="184"/>
  <c r="BO67" i="184"/>
  <c r="BP67" i="184"/>
  <c r="BQ67" i="184"/>
  <c r="BR67" i="184"/>
  <c r="BS67" i="184"/>
  <c r="BT67" i="184"/>
  <c r="BU67" i="184"/>
  <c r="BV67" i="184"/>
  <c r="BW67" i="184"/>
  <c r="BX67" i="184"/>
  <c r="BY67" i="184"/>
  <c r="BZ67" i="184"/>
  <c r="CA67" i="184"/>
  <c r="CB67" i="184"/>
  <c r="CC67" i="184"/>
  <c r="CD67" i="184"/>
  <c r="CE67" i="184"/>
  <c r="CF67" i="184"/>
  <c r="CG67" i="184"/>
  <c r="CH67" i="184"/>
  <c r="CI67" i="184"/>
  <c r="CJ67" i="184"/>
  <c r="CK67" i="184"/>
  <c r="CL67" i="184"/>
  <c r="CM67" i="184"/>
  <c r="CN67" i="184"/>
  <c r="CO67" i="184"/>
  <c r="CP67" i="184"/>
  <c r="CQ67" i="184"/>
  <c r="CR67" i="184"/>
  <c r="CS67" i="184"/>
  <c r="CT67" i="184"/>
  <c r="CU67" i="184"/>
  <c r="CV67" i="184"/>
  <c r="CW67" i="184"/>
  <c r="CX67" i="184"/>
  <c r="CY67" i="184"/>
  <c r="CZ67" i="184"/>
  <c r="DA67" i="184"/>
  <c r="DB67" i="184"/>
  <c r="DC67" i="184"/>
  <c r="DD67" i="184"/>
  <c r="DE67" i="184"/>
  <c r="DF67" i="184"/>
  <c r="DG67" i="184"/>
  <c r="DH67" i="184"/>
  <c r="DI67" i="184"/>
  <c r="DJ67" i="184"/>
  <c r="DK67" i="184"/>
  <c r="DL67" i="184"/>
  <c r="DM67" i="184"/>
  <c r="DN67" i="184"/>
  <c r="DO67" i="184"/>
  <c r="DP67" i="184"/>
  <c r="DQ67" i="184"/>
  <c r="DR67" i="184"/>
  <c r="DS67" i="184"/>
  <c r="DT67" i="184"/>
  <c r="DU67" i="184"/>
  <c r="DV67" i="184"/>
  <c r="DW67" i="184"/>
  <c r="DX67" i="184"/>
  <c r="DY67" i="184"/>
  <c r="DZ67" i="184"/>
  <c r="EA67" i="184"/>
  <c r="EB67" i="184"/>
  <c r="EC67" i="184"/>
  <c r="ED67" i="184"/>
  <c r="EE67" i="184"/>
  <c r="EF67" i="184"/>
  <c r="EG67" i="184"/>
  <c r="EH67" i="184"/>
  <c r="EI67" i="184"/>
  <c r="EJ67" i="184"/>
  <c r="EK67" i="184"/>
  <c r="EL67" i="184"/>
  <c r="EM67" i="184"/>
  <c r="EN67" i="184"/>
  <c r="EO67" i="184"/>
  <c r="EP67" i="184"/>
  <c r="EQ67" i="184"/>
  <c r="ER67" i="184"/>
  <c r="ES67" i="184"/>
  <c r="ET67" i="184"/>
  <c r="EU67" i="184"/>
  <c r="EV67" i="184"/>
  <c r="EW67" i="184"/>
  <c r="EX67" i="184"/>
  <c r="EY67" i="184"/>
  <c r="EZ67" i="184"/>
  <c r="FA67" i="184"/>
  <c r="FB67" i="184"/>
  <c r="FC67" i="184"/>
  <c r="FD67" i="184"/>
  <c r="FE67" i="184"/>
  <c r="FF67" i="184"/>
  <c r="FG67" i="184"/>
  <c r="FH67" i="184"/>
  <c r="FI67" i="184"/>
  <c r="FJ67" i="184"/>
  <c r="FK67" i="184"/>
  <c r="FL67" i="184"/>
  <c r="FM67" i="184"/>
  <c r="FN67" i="184"/>
  <c r="FO67" i="184"/>
  <c r="FP67" i="184"/>
  <c r="FQ67" i="184"/>
  <c r="FR67" i="184"/>
  <c r="FS67" i="184"/>
  <c r="FT67" i="184"/>
  <c r="FU67" i="184"/>
  <c r="FV67" i="184"/>
  <c r="FW67" i="184"/>
  <c r="FX67" i="184"/>
  <c r="FY67" i="184"/>
  <c r="FZ67" i="184"/>
  <c r="GA67" i="184"/>
  <c r="GB67" i="184"/>
  <c r="GC67" i="184"/>
  <c r="GD67" i="184"/>
  <c r="GE67" i="184"/>
  <c r="GF67" i="184"/>
  <c r="GG67" i="184"/>
  <c r="GH67" i="184"/>
  <c r="GI67" i="184"/>
  <c r="GJ67" i="184"/>
  <c r="GK67" i="184"/>
  <c r="GL67" i="184"/>
  <c r="GM67" i="184"/>
  <c r="GN67" i="184"/>
  <c r="GO67" i="184"/>
  <c r="GP67" i="184"/>
  <c r="GQ67" i="184"/>
  <c r="GR67" i="184"/>
  <c r="GS67" i="184"/>
  <c r="GT67" i="184"/>
  <c r="GU67" i="184"/>
  <c r="GV67" i="184"/>
  <c r="GW67" i="184"/>
  <c r="GX67" i="184"/>
  <c r="GY67" i="184"/>
  <c r="GZ67" i="184"/>
  <c r="HA67" i="184"/>
  <c r="HB67" i="184"/>
  <c r="HC67" i="184"/>
  <c r="HD67" i="184"/>
  <c r="HE67" i="184"/>
  <c r="HF67" i="184"/>
  <c r="HG67" i="184"/>
  <c r="HH67" i="184"/>
  <c r="HI67" i="184"/>
  <c r="HJ67" i="184"/>
  <c r="HK67" i="184"/>
  <c r="HL67" i="184"/>
  <c r="HM67" i="184"/>
  <c r="HN67" i="184"/>
  <c r="HO67" i="184"/>
  <c r="HP67" i="184"/>
  <c r="HQ67" i="184"/>
  <c r="HR67" i="184"/>
  <c r="HS67" i="184"/>
  <c r="HT67" i="184"/>
  <c r="HU67" i="184"/>
  <c r="HV67" i="184"/>
  <c r="HW67" i="184"/>
  <c r="HX67" i="184"/>
  <c r="HY67" i="184"/>
  <c r="HZ67" i="184"/>
  <c r="IA67" i="184"/>
  <c r="IB67" i="184"/>
  <c r="IC67" i="184"/>
  <c r="ID67" i="184"/>
  <c r="IE67" i="184"/>
  <c r="IF67" i="184"/>
  <c r="IG67" i="184"/>
  <c r="IH67" i="184"/>
  <c r="II67" i="184"/>
  <c r="IJ67" i="184"/>
  <c r="IK67" i="184"/>
  <c r="IL67" i="184"/>
  <c r="IM67" i="184"/>
  <c r="IN67" i="184"/>
  <c r="IO67" i="184"/>
  <c r="IP67" i="184"/>
  <c r="IQ67" i="184"/>
  <c r="IR67" i="184"/>
  <c r="IS67" i="184"/>
  <c r="IT67" i="184"/>
  <c r="IU67" i="184"/>
  <c r="IV67" i="184"/>
  <c r="A66" i="184"/>
  <c r="B66" i="184"/>
  <c r="C66" i="184"/>
  <c r="D66" i="184"/>
  <c r="E66" i="184"/>
  <c r="F66" i="184"/>
  <c r="G66" i="184"/>
  <c r="H66" i="184"/>
  <c r="I66" i="184"/>
  <c r="J66" i="184"/>
  <c r="K66" i="184"/>
  <c r="L66" i="184"/>
  <c r="M66" i="184"/>
  <c r="N66" i="184"/>
  <c r="O66" i="184"/>
  <c r="P66" i="184"/>
  <c r="Q66" i="184"/>
  <c r="R66" i="184"/>
  <c r="S66" i="184"/>
  <c r="T66" i="184"/>
  <c r="U66" i="184"/>
  <c r="V66" i="184"/>
  <c r="W66" i="184"/>
  <c r="X66" i="184"/>
  <c r="Y66" i="184"/>
  <c r="Z66" i="184"/>
  <c r="AA66" i="184"/>
  <c r="AB66" i="184"/>
  <c r="AC66" i="184"/>
  <c r="AD66" i="184"/>
  <c r="AE66" i="184"/>
  <c r="AF66" i="184"/>
  <c r="AG66" i="184"/>
  <c r="AH66" i="184"/>
  <c r="AI66" i="184"/>
  <c r="AJ66" i="184"/>
  <c r="AK66" i="184"/>
  <c r="AL66" i="184"/>
  <c r="AM66" i="184"/>
  <c r="AN66" i="184"/>
  <c r="AO66" i="184"/>
  <c r="AP66" i="184"/>
  <c r="AQ66" i="184"/>
  <c r="AR66" i="184"/>
  <c r="AS66" i="184"/>
  <c r="AT66" i="184"/>
  <c r="AU66" i="184"/>
  <c r="AV66" i="184"/>
  <c r="AW66" i="184"/>
  <c r="AX66" i="184"/>
  <c r="AY66" i="184"/>
  <c r="AZ66" i="184"/>
  <c r="BA66" i="184"/>
  <c r="BB66" i="184"/>
  <c r="BC66" i="184"/>
  <c r="BD66" i="184"/>
  <c r="BE66" i="184"/>
  <c r="BF66" i="184"/>
  <c r="BG66" i="184"/>
  <c r="BH66" i="184"/>
  <c r="BI66" i="184"/>
  <c r="BJ66" i="184"/>
  <c r="BK66" i="184"/>
  <c r="BL66" i="184"/>
  <c r="BM66" i="184"/>
  <c r="BN66" i="184"/>
  <c r="BO66" i="184"/>
  <c r="BP66" i="184"/>
  <c r="BQ66" i="184"/>
  <c r="BR66" i="184"/>
  <c r="BS66" i="184"/>
  <c r="BT66" i="184"/>
  <c r="BU66" i="184"/>
  <c r="BV66" i="184"/>
  <c r="BW66" i="184"/>
  <c r="BX66" i="184"/>
  <c r="BY66" i="184"/>
  <c r="BZ66" i="184"/>
  <c r="CA66" i="184"/>
  <c r="CB66" i="184"/>
  <c r="CC66" i="184"/>
  <c r="CD66" i="184"/>
  <c r="CE66" i="184"/>
  <c r="CF66" i="184"/>
  <c r="CG66" i="184"/>
  <c r="CH66" i="184"/>
  <c r="CI66" i="184"/>
  <c r="CJ66" i="184"/>
  <c r="CK66" i="184"/>
  <c r="CL66" i="184"/>
  <c r="CM66" i="184"/>
  <c r="CN66" i="184"/>
  <c r="CO66" i="184"/>
  <c r="CP66" i="184"/>
  <c r="CQ66" i="184"/>
  <c r="CR66" i="184"/>
  <c r="CS66" i="184"/>
  <c r="CT66" i="184"/>
  <c r="CU66" i="184"/>
  <c r="CV66" i="184"/>
  <c r="CW66" i="184"/>
  <c r="CX66" i="184"/>
  <c r="CY66" i="184"/>
  <c r="CZ66" i="184"/>
  <c r="DA66" i="184"/>
  <c r="DB66" i="184"/>
  <c r="DC66" i="184"/>
  <c r="DD66" i="184"/>
  <c r="DE66" i="184"/>
  <c r="DF66" i="184"/>
  <c r="DG66" i="184"/>
  <c r="DH66" i="184"/>
  <c r="DI66" i="184"/>
  <c r="DJ66" i="184"/>
  <c r="DK66" i="184"/>
  <c r="DL66" i="184"/>
  <c r="DM66" i="184"/>
  <c r="DN66" i="184"/>
  <c r="DO66" i="184"/>
  <c r="DP66" i="184"/>
  <c r="DQ66" i="184"/>
  <c r="DR66" i="184"/>
  <c r="DS66" i="184"/>
  <c r="DT66" i="184"/>
  <c r="DU66" i="184"/>
  <c r="DV66" i="184"/>
  <c r="DW66" i="184"/>
  <c r="DX66" i="184"/>
  <c r="DY66" i="184"/>
  <c r="DZ66" i="184"/>
  <c r="EA66" i="184"/>
  <c r="EB66" i="184"/>
  <c r="EC66" i="184"/>
  <c r="ED66" i="184"/>
  <c r="EE66" i="184"/>
  <c r="EF66" i="184"/>
  <c r="EG66" i="184"/>
  <c r="EH66" i="184"/>
  <c r="EI66" i="184"/>
  <c r="EJ66" i="184"/>
  <c r="EK66" i="184"/>
  <c r="EL66" i="184"/>
  <c r="EM66" i="184"/>
  <c r="EN66" i="184"/>
  <c r="EO66" i="184"/>
  <c r="EP66" i="184"/>
  <c r="EQ66" i="184"/>
  <c r="ER66" i="184"/>
  <c r="ES66" i="184"/>
  <c r="ET66" i="184"/>
  <c r="EU66" i="184"/>
  <c r="EV66" i="184"/>
  <c r="EW66" i="184"/>
  <c r="EX66" i="184"/>
  <c r="EY66" i="184"/>
  <c r="EZ66" i="184"/>
  <c r="FA66" i="184"/>
  <c r="FB66" i="184"/>
  <c r="FC66" i="184"/>
  <c r="FD66" i="184"/>
  <c r="FE66" i="184"/>
  <c r="FF66" i="184"/>
  <c r="FG66" i="184"/>
  <c r="FH66" i="184"/>
  <c r="FI66" i="184"/>
  <c r="FJ66" i="184"/>
  <c r="FK66" i="184"/>
  <c r="FL66" i="184"/>
  <c r="FM66" i="184"/>
  <c r="FN66" i="184"/>
  <c r="FO66" i="184"/>
  <c r="FP66" i="184"/>
  <c r="FQ66" i="184"/>
  <c r="FR66" i="184"/>
  <c r="FS66" i="184"/>
  <c r="FT66" i="184"/>
  <c r="FU66" i="184"/>
  <c r="FV66" i="184"/>
  <c r="FW66" i="184"/>
  <c r="FX66" i="184"/>
  <c r="FY66" i="184"/>
  <c r="FZ66" i="184"/>
  <c r="GA66" i="184"/>
  <c r="GB66" i="184"/>
  <c r="GC66" i="184"/>
  <c r="GD66" i="184"/>
  <c r="GE66" i="184"/>
  <c r="GF66" i="184"/>
  <c r="GG66" i="184"/>
  <c r="GH66" i="184"/>
  <c r="GI66" i="184"/>
  <c r="GJ66" i="184"/>
  <c r="GK66" i="184"/>
  <c r="GL66" i="184"/>
  <c r="GM66" i="184"/>
  <c r="GN66" i="184"/>
  <c r="GO66" i="184"/>
  <c r="GP66" i="184"/>
  <c r="GQ66" i="184"/>
  <c r="GR66" i="184"/>
  <c r="GS66" i="184"/>
  <c r="GT66" i="184"/>
  <c r="GU66" i="184"/>
  <c r="GV66" i="184"/>
  <c r="GW66" i="184"/>
  <c r="GX66" i="184"/>
  <c r="GY66" i="184"/>
  <c r="GZ66" i="184"/>
  <c r="HA66" i="184"/>
  <c r="HB66" i="184"/>
  <c r="HC66" i="184"/>
  <c r="HD66" i="184"/>
  <c r="HE66" i="184"/>
  <c r="HF66" i="184"/>
  <c r="HG66" i="184"/>
  <c r="HH66" i="184"/>
  <c r="HI66" i="184"/>
  <c r="HJ66" i="184"/>
  <c r="HK66" i="184"/>
  <c r="HL66" i="184"/>
  <c r="HM66" i="184"/>
  <c r="HN66" i="184"/>
  <c r="HO66" i="184"/>
  <c r="HP66" i="184"/>
  <c r="HQ66" i="184"/>
  <c r="HR66" i="184"/>
  <c r="HS66" i="184"/>
  <c r="HT66" i="184"/>
  <c r="HU66" i="184"/>
  <c r="HV66" i="184"/>
  <c r="HW66" i="184"/>
  <c r="HX66" i="184"/>
  <c r="HY66" i="184"/>
  <c r="HZ66" i="184"/>
  <c r="IA66" i="184"/>
  <c r="IB66" i="184"/>
  <c r="IC66" i="184"/>
  <c r="ID66" i="184"/>
  <c r="IE66" i="184"/>
  <c r="IF66" i="184"/>
  <c r="IG66" i="184"/>
  <c r="IH66" i="184"/>
  <c r="II66" i="184"/>
  <c r="IJ66" i="184"/>
  <c r="IK66" i="184"/>
  <c r="IL66" i="184"/>
  <c r="IM66" i="184"/>
  <c r="IN66" i="184"/>
  <c r="IO66" i="184"/>
  <c r="IP66" i="184"/>
  <c r="IQ66" i="184"/>
  <c r="IR66" i="184"/>
  <c r="IS66" i="184"/>
  <c r="IT66" i="184"/>
  <c r="IU66" i="184"/>
  <c r="IV66" i="184"/>
  <c r="A65" i="184"/>
  <c r="B65" i="184"/>
  <c r="C65" i="184"/>
  <c r="D65" i="184"/>
  <c r="E65" i="184"/>
  <c r="F65" i="184"/>
  <c r="G65" i="184"/>
  <c r="H65" i="184"/>
  <c r="I65" i="184"/>
  <c r="J65" i="184"/>
  <c r="K65" i="184"/>
  <c r="L65" i="184"/>
  <c r="M65" i="184"/>
  <c r="N65" i="184"/>
  <c r="O65" i="184"/>
  <c r="P65" i="184"/>
  <c r="Q65" i="184"/>
  <c r="R65" i="184"/>
  <c r="S65" i="184"/>
  <c r="T65" i="184"/>
  <c r="U65" i="184"/>
  <c r="V65" i="184"/>
  <c r="W65" i="184"/>
  <c r="X65" i="184"/>
  <c r="Y65" i="184"/>
  <c r="Z65" i="184"/>
  <c r="AA65" i="184"/>
  <c r="AB65" i="184"/>
  <c r="AC65" i="184"/>
  <c r="AD65" i="184"/>
  <c r="AE65" i="184"/>
  <c r="AF65" i="184"/>
  <c r="AG65" i="184"/>
  <c r="AH65" i="184"/>
  <c r="AI65" i="184"/>
  <c r="AJ65" i="184"/>
  <c r="AK65" i="184"/>
  <c r="AL65" i="184"/>
  <c r="AM65" i="184"/>
  <c r="AN65" i="184"/>
  <c r="AO65" i="184"/>
  <c r="AP65" i="184"/>
  <c r="AQ65" i="184"/>
  <c r="AR65" i="184"/>
  <c r="AS65" i="184"/>
  <c r="AT65" i="184"/>
  <c r="AU65" i="184"/>
  <c r="AV65" i="184"/>
  <c r="AW65" i="184"/>
  <c r="AX65" i="184"/>
  <c r="AY65" i="184"/>
  <c r="AZ65" i="184"/>
  <c r="BA65" i="184"/>
  <c r="BB65" i="184"/>
  <c r="BC65" i="184"/>
  <c r="BD65" i="184"/>
  <c r="BE65" i="184"/>
  <c r="BF65" i="184"/>
  <c r="BG65" i="184"/>
  <c r="BH65" i="184"/>
  <c r="BI65" i="184"/>
  <c r="BJ65" i="184"/>
  <c r="BK65" i="184"/>
  <c r="BL65" i="184"/>
  <c r="BM65" i="184"/>
  <c r="BN65" i="184"/>
  <c r="BO65" i="184"/>
  <c r="BP65" i="184"/>
  <c r="BQ65" i="184"/>
  <c r="BR65" i="184"/>
  <c r="BS65" i="184"/>
  <c r="BT65" i="184"/>
  <c r="BU65" i="184"/>
  <c r="BV65" i="184"/>
  <c r="BW65" i="184"/>
  <c r="BX65" i="184"/>
  <c r="BY65" i="184"/>
  <c r="BZ65" i="184"/>
  <c r="CA65" i="184"/>
  <c r="CB65" i="184"/>
  <c r="CC65" i="184"/>
  <c r="CD65" i="184"/>
  <c r="CE65" i="184"/>
  <c r="CF65" i="184"/>
  <c r="CG65" i="184"/>
  <c r="CH65" i="184"/>
  <c r="CI65" i="184"/>
  <c r="CJ65" i="184"/>
  <c r="CK65" i="184"/>
  <c r="CL65" i="184"/>
  <c r="CM65" i="184"/>
  <c r="CN65" i="184"/>
  <c r="CO65" i="184"/>
  <c r="CP65" i="184"/>
  <c r="CQ65" i="184"/>
  <c r="CR65" i="184"/>
  <c r="CS65" i="184"/>
  <c r="CT65" i="184"/>
  <c r="CU65" i="184"/>
  <c r="CV65" i="184"/>
  <c r="CW65" i="184"/>
  <c r="CX65" i="184"/>
  <c r="CY65" i="184"/>
  <c r="CZ65" i="184"/>
  <c r="DA65" i="184"/>
  <c r="DB65" i="184"/>
  <c r="DC65" i="184"/>
  <c r="DD65" i="184"/>
  <c r="DE65" i="184"/>
  <c r="DF65" i="184"/>
  <c r="DG65" i="184"/>
  <c r="DH65" i="184"/>
  <c r="DI65" i="184"/>
  <c r="DJ65" i="184"/>
  <c r="DK65" i="184"/>
  <c r="DL65" i="184"/>
  <c r="DM65" i="184"/>
  <c r="DN65" i="184"/>
  <c r="DO65" i="184"/>
  <c r="DP65" i="184"/>
  <c r="DQ65" i="184"/>
  <c r="DR65" i="184"/>
  <c r="DS65" i="184"/>
  <c r="DT65" i="184"/>
  <c r="DU65" i="184"/>
  <c r="DV65" i="184"/>
  <c r="DW65" i="184"/>
  <c r="DX65" i="184"/>
  <c r="DY65" i="184"/>
  <c r="DZ65" i="184"/>
  <c r="EA65" i="184"/>
  <c r="EB65" i="184"/>
  <c r="EC65" i="184"/>
  <c r="ED65" i="184"/>
  <c r="EE65" i="184"/>
  <c r="EF65" i="184"/>
  <c r="EG65" i="184"/>
  <c r="EH65" i="184"/>
  <c r="EI65" i="184"/>
  <c r="EJ65" i="184"/>
  <c r="EK65" i="184"/>
  <c r="EL65" i="184"/>
  <c r="EM65" i="184"/>
  <c r="EN65" i="184"/>
  <c r="EO65" i="184"/>
  <c r="EP65" i="184"/>
  <c r="EQ65" i="184"/>
  <c r="ER65" i="184"/>
  <c r="ES65" i="184"/>
  <c r="ET65" i="184"/>
  <c r="EU65" i="184"/>
  <c r="EV65" i="184"/>
  <c r="EW65" i="184"/>
  <c r="EX65" i="184"/>
  <c r="EY65" i="184"/>
  <c r="EZ65" i="184"/>
  <c r="FA65" i="184"/>
  <c r="FB65" i="184"/>
  <c r="FC65" i="184"/>
  <c r="FD65" i="184"/>
  <c r="FE65" i="184"/>
  <c r="FF65" i="184"/>
  <c r="FG65" i="184"/>
  <c r="FH65" i="184"/>
  <c r="FI65" i="184"/>
  <c r="FJ65" i="184"/>
  <c r="FK65" i="184"/>
  <c r="FL65" i="184"/>
  <c r="FM65" i="184"/>
  <c r="FN65" i="184"/>
  <c r="FO65" i="184"/>
  <c r="FP65" i="184"/>
  <c r="FQ65" i="184"/>
  <c r="FR65" i="184"/>
  <c r="FS65" i="184"/>
  <c r="FT65" i="184"/>
  <c r="FU65" i="184"/>
  <c r="FV65" i="184"/>
  <c r="FW65" i="184"/>
  <c r="FX65" i="184"/>
  <c r="FY65" i="184"/>
  <c r="FZ65" i="184"/>
  <c r="GA65" i="184"/>
  <c r="GB65" i="184"/>
  <c r="GC65" i="184"/>
  <c r="GD65" i="184"/>
  <c r="GE65" i="184"/>
  <c r="GF65" i="184"/>
  <c r="GG65" i="184"/>
  <c r="GH65" i="184"/>
  <c r="GI65" i="184"/>
  <c r="GJ65" i="184"/>
  <c r="GK65" i="184"/>
  <c r="GL65" i="184"/>
  <c r="GM65" i="184"/>
  <c r="GN65" i="184"/>
  <c r="GO65" i="184"/>
  <c r="GP65" i="184"/>
  <c r="GQ65" i="184"/>
  <c r="GR65" i="184"/>
  <c r="GS65" i="184"/>
  <c r="GT65" i="184"/>
  <c r="GU65" i="184"/>
  <c r="GV65" i="184"/>
  <c r="GW65" i="184"/>
  <c r="GX65" i="184"/>
  <c r="GY65" i="184"/>
  <c r="GZ65" i="184"/>
  <c r="HA65" i="184"/>
  <c r="HB65" i="184"/>
  <c r="HC65" i="184"/>
  <c r="HD65" i="184"/>
  <c r="HE65" i="184"/>
  <c r="HF65" i="184"/>
  <c r="HG65" i="184"/>
  <c r="HH65" i="184"/>
  <c r="HI65" i="184"/>
  <c r="HJ65" i="184"/>
  <c r="HK65" i="184"/>
  <c r="HL65" i="184"/>
  <c r="HM65" i="184"/>
  <c r="HN65" i="184"/>
  <c r="HO65" i="184"/>
  <c r="HP65" i="184"/>
  <c r="HQ65" i="184"/>
  <c r="HR65" i="184"/>
  <c r="HS65" i="184"/>
  <c r="HT65" i="184"/>
  <c r="HU65" i="184"/>
  <c r="HV65" i="184"/>
  <c r="HW65" i="184"/>
  <c r="HX65" i="184"/>
  <c r="HY65" i="184"/>
  <c r="HZ65" i="184"/>
  <c r="IA65" i="184"/>
  <c r="IB65" i="184"/>
  <c r="IC65" i="184"/>
  <c r="ID65" i="184"/>
  <c r="IE65" i="184"/>
  <c r="IF65" i="184"/>
  <c r="IG65" i="184"/>
  <c r="IH65" i="184"/>
  <c r="II65" i="184"/>
  <c r="IJ65" i="184"/>
  <c r="IK65" i="184"/>
  <c r="IL65" i="184"/>
  <c r="IM65" i="184"/>
  <c r="IN65" i="184"/>
  <c r="IO65" i="184"/>
  <c r="IP65" i="184"/>
  <c r="IQ65" i="184"/>
  <c r="IR65" i="184"/>
  <c r="IS65" i="184"/>
  <c r="IT65" i="184"/>
  <c r="IU65" i="184"/>
  <c r="IV65" i="184"/>
  <c r="A64" i="184"/>
  <c r="B64" i="184"/>
  <c r="C64" i="184"/>
  <c r="D64" i="184"/>
  <c r="E64" i="184"/>
  <c r="F64" i="184"/>
  <c r="G64" i="184"/>
  <c r="H64" i="184"/>
  <c r="I64" i="184"/>
  <c r="J64" i="184"/>
  <c r="K64" i="184"/>
  <c r="L64" i="184"/>
  <c r="M64" i="184"/>
  <c r="N64" i="184"/>
  <c r="O64" i="184"/>
  <c r="P64" i="184"/>
  <c r="Q64" i="184"/>
  <c r="R64" i="184"/>
  <c r="S64" i="184"/>
  <c r="T64" i="184"/>
  <c r="U64" i="184"/>
  <c r="V64" i="184"/>
  <c r="W64" i="184"/>
  <c r="X64" i="184"/>
  <c r="Y64" i="184"/>
  <c r="Z64" i="184"/>
  <c r="AA64" i="184"/>
  <c r="AB64" i="184"/>
  <c r="AC64" i="184"/>
  <c r="AD64" i="184"/>
  <c r="AE64" i="184"/>
  <c r="AF64" i="184"/>
  <c r="AG64" i="184"/>
  <c r="AH64" i="184"/>
  <c r="AI64" i="184"/>
  <c r="AJ64" i="184"/>
  <c r="AK64" i="184"/>
  <c r="AL64" i="184"/>
  <c r="AM64" i="184"/>
  <c r="AN64" i="184"/>
  <c r="AO64" i="184"/>
  <c r="AP64" i="184"/>
  <c r="AQ64" i="184"/>
  <c r="AR64" i="184"/>
  <c r="AS64" i="184"/>
  <c r="AT64" i="184"/>
  <c r="AU64" i="184"/>
  <c r="AV64" i="184"/>
  <c r="AW64" i="184"/>
  <c r="AX64" i="184"/>
  <c r="AY64" i="184"/>
  <c r="AZ64" i="184"/>
  <c r="BA64" i="184"/>
  <c r="BB64" i="184"/>
  <c r="BC64" i="184"/>
  <c r="BD64" i="184"/>
  <c r="BE64" i="184"/>
  <c r="BF64" i="184"/>
  <c r="BG64" i="184"/>
  <c r="BH64" i="184"/>
  <c r="BI64" i="184"/>
  <c r="BJ64" i="184"/>
  <c r="BK64" i="184"/>
  <c r="BL64" i="184"/>
  <c r="BM64" i="184"/>
  <c r="BN64" i="184"/>
  <c r="BO64" i="184"/>
  <c r="BP64" i="184"/>
  <c r="BQ64" i="184"/>
  <c r="BR64" i="184"/>
  <c r="BS64" i="184"/>
  <c r="BT64" i="184"/>
  <c r="BU64" i="184"/>
  <c r="BV64" i="184"/>
  <c r="BW64" i="184"/>
  <c r="BX64" i="184"/>
  <c r="BY64" i="184"/>
  <c r="BZ64" i="184"/>
  <c r="CA64" i="184"/>
  <c r="CB64" i="184"/>
  <c r="CC64" i="184"/>
  <c r="CD64" i="184"/>
  <c r="CE64" i="184"/>
  <c r="CF64" i="184"/>
  <c r="CG64" i="184"/>
  <c r="CH64" i="184"/>
  <c r="CI64" i="184"/>
  <c r="CJ64" i="184"/>
  <c r="CK64" i="184"/>
  <c r="CL64" i="184"/>
  <c r="CM64" i="184"/>
  <c r="CN64" i="184"/>
  <c r="CO64" i="184"/>
  <c r="CP64" i="184"/>
  <c r="CQ64" i="184"/>
  <c r="CR64" i="184"/>
  <c r="CS64" i="184"/>
  <c r="CT64" i="184"/>
  <c r="CU64" i="184"/>
  <c r="CV64" i="184"/>
  <c r="CW64" i="184"/>
  <c r="CX64" i="184"/>
  <c r="CY64" i="184"/>
  <c r="CZ64" i="184"/>
  <c r="DA64" i="184"/>
  <c r="DB64" i="184"/>
  <c r="DC64" i="184"/>
  <c r="DD64" i="184"/>
  <c r="DE64" i="184"/>
  <c r="DF64" i="184"/>
  <c r="DG64" i="184"/>
  <c r="DH64" i="184"/>
  <c r="DI64" i="184"/>
  <c r="DJ64" i="184"/>
  <c r="DK64" i="184"/>
  <c r="DL64" i="184"/>
  <c r="DM64" i="184"/>
  <c r="DN64" i="184"/>
  <c r="DO64" i="184"/>
  <c r="DP64" i="184"/>
  <c r="DQ64" i="184"/>
  <c r="DR64" i="184"/>
  <c r="DS64" i="184"/>
  <c r="DT64" i="184"/>
  <c r="DU64" i="184"/>
  <c r="DV64" i="184"/>
  <c r="DW64" i="184"/>
  <c r="DX64" i="184"/>
  <c r="DY64" i="184"/>
  <c r="DZ64" i="184"/>
  <c r="EA64" i="184"/>
  <c r="EB64" i="184"/>
  <c r="EC64" i="184"/>
  <c r="ED64" i="184"/>
  <c r="EE64" i="184"/>
  <c r="EF64" i="184"/>
  <c r="EG64" i="184"/>
  <c r="EH64" i="184"/>
  <c r="EI64" i="184"/>
  <c r="EJ64" i="184"/>
  <c r="EK64" i="184"/>
  <c r="EL64" i="184"/>
  <c r="EM64" i="184"/>
  <c r="EN64" i="184"/>
  <c r="EO64" i="184"/>
  <c r="EP64" i="184"/>
  <c r="EQ64" i="184"/>
  <c r="ER64" i="184"/>
  <c r="ES64" i="184"/>
  <c r="ET64" i="184"/>
  <c r="EU64" i="184"/>
  <c r="EV64" i="184"/>
  <c r="EW64" i="184"/>
  <c r="EX64" i="184"/>
  <c r="EY64" i="184"/>
  <c r="EZ64" i="184"/>
  <c r="FA64" i="184"/>
  <c r="FB64" i="184"/>
  <c r="FC64" i="184"/>
  <c r="FD64" i="184"/>
  <c r="FE64" i="184"/>
  <c r="FF64" i="184"/>
  <c r="FG64" i="184"/>
  <c r="FH64" i="184"/>
  <c r="FI64" i="184"/>
  <c r="FJ64" i="184"/>
  <c r="FK64" i="184"/>
  <c r="FL64" i="184"/>
  <c r="FM64" i="184"/>
  <c r="FN64" i="184"/>
  <c r="FO64" i="184"/>
  <c r="FP64" i="184"/>
  <c r="FQ64" i="184"/>
  <c r="FR64" i="184"/>
  <c r="FS64" i="184"/>
  <c r="FT64" i="184"/>
  <c r="FU64" i="184"/>
  <c r="FV64" i="184"/>
  <c r="FW64" i="184"/>
  <c r="FX64" i="184"/>
  <c r="FY64" i="184"/>
  <c r="FZ64" i="184"/>
  <c r="GA64" i="184"/>
  <c r="GB64" i="184"/>
  <c r="GC64" i="184"/>
  <c r="GD64" i="184"/>
  <c r="GE64" i="184"/>
  <c r="GF64" i="184"/>
  <c r="GG64" i="184"/>
  <c r="GH64" i="184"/>
  <c r="GI64" i="184"/>
  <c r="GJ64" i="184"/>
  <c r="GK64" i="184"/>
  <c r="GL64" i="184"/>
  <c r="GM64" i="184"/>
  <c r="GN64" i="184"/>
  <c r="GO64" i="184"/>
  <c r="GP64" i="184"/>
  <c r="GQ64" i="184"/>
  <c r="GR64" i="184"/>
  <c r="GS64" i="184"/>
  <c r="GT64" i="184"/>
  <c r="GU64" i="184"/>
  <c r="GV64" i="184"/>
  <c r="GW64" i="184"/>
  <c r="GX64" i="184"/>
  <c r="GY64" i="184"/>
  <c r="GZ64" i="184"/>
  <c r="HA64" i="184"/>
  <c r="HB64" i="184"/>
  <c r="HC64" i="184"/>
  <c r="HD64" i="184"/>
  <c r="HE64" i="184"/>
  <c r="HF64" i="184"/>
  <c r="HG64" i="184"/>
  <c r="HH64" i="184"/>
  <c r="HI64" i="184"/>
  <c r="HJ64" i="184"/>
  <c r="HK64" i="184"/>
  <c r="HL64" i="184"/>
  <c r="HM64" i="184"/>
  <c r="HN64" i="184"/>
  <c r="HO64" i="184"/>
  <c r="HP64" i="184"/>
  <c r="HQ64" i="184"/>
  <c r="HR64" i="184"/>
  <c r="HS64" i="184"/>
  <c r="HT64" i="184"/>
  <c r="HU64" i="184"/>
  <c r="HV64" i="184"/>
  <c r="HW64" i="184"/>
  <c r="HX64" i="184"/>
  <c r="HY64" i="184"/>
  <c r="HZ64" i="184"/>
  <c r="IA64" i="184"/>
  <c r="IB64" i="184"/>
  <c r="IC64" i="184"/>
  <c r="ID64" i="184"/>
  <c r="IE64" i="184"/>
  <c r="IF64" i="184"/>
  <c r="IG64" i="184"/>
  <c r="IH64" i="184"/>
  <c r="II64" i="184"/>
  <c r="IJ64" i="184"/>
  <c r="IK64" i="184"/>
  <c r="IL64" i="184"/>
  <c r="IM64" i="184"/>
  <c r="IN64" i="184"/>
  <c r="IO64" i="184"/>
  <c r="IP64" i="184"/>
  <c r="IQ64" i="184"/>
  <c r="IR64" i="184"/>
  <c r="IS64" i="184"/>
  <c r="IT64" i="184"/>
  <c r="IU64" i="184"/>
  <c r="IV64" i="184"/>
  <c r="A63" i="184"/>
  <c r="B63" i="184"/>
  <c r="C63" i="184"/>
  <c r="D63" i="184"/>
  <c r="E63" i="184"/>
  <c r="F63" i="184"/>
  <c r="G63" i="184"/>
  <c r="H63" i="184"/>
  <c r="I63" i="184"/>
  <c r="J63" i="184"/>
  <c r="K63" i="184"/>
  <c r="L63" i="184"/>
  <c r="M63" i="184"/>
  <c r="N63" i="184"/>
  <c r="O63" i="184"/>
  <c r="P63" i="184"/>
  <c r="Q63" i="184"/>
  <c r="R63" i="184"/>
  <c r="S63" i="184"/>
  <c r="T63" i="184"/>
  <c r="U63" i="184"/>
  <c r="V63" i="184"/>
  <c r="W63" i="184"/>
  <c r="X63" i="184"/>
  <c r="Y63" i="184"/>
  <c r="Z63" i="184"/>
  <c r="AA63" i="184"/>
  <c r="AB63" i="184"/>
  <c r="AC63" i="184"/>
  <c r="AD63" i="184"/>
  <c r="AE63" i="184"/>
  <c r="AF63" i="184"/>
  <c r="AG63" i="184"/>
  <c r="AH63" i="184"/>
  <c r="AI63" i="184"/>
  <c r="AJ63" i="184"/>
  <c r="AK63" i="184"/>
  <c r="AL63" i="184"/>
  <c r="AM63" i="184"/>
  <c r="AN63" i="184"/>
  <c r="AO63" i="184"/>
  <c r="AP63" i="184"/>
  <c r="AQ63" i="184"/>
  <c r="AR63" i="184"/>
  <c r="AS63" i="184"/>
  <c r="AT63" i="184"/>
  <c r="AU63" i="184"/>
  <c r="AV63" i="184"/>
  <c r="AW63" i="184"/>
  <c r="AX63" i="184"/>
  <c r="AY63" i="184"/>
  <c r="AZ63" i="184"/>
  <c r="BA63" i="184"/>
  <c r="BB63" i="184"/>
  <c r="BC63" i="184"/>
  <c r="BD63" i="184"/>
  <c r="BE63" i="184"/>
  <c r="BF63" i="184"/>
  <c r="BG63" i="184"/>
  <c r="BH63" i="184"/>
  <c r="BI63" i="184"/>
  <c r="BJ63" i="184"/>
  <c r="BK63" i="184"/>
  <c r="BL63" i="184"/>
  <c r="BM63" i="184"/>
  <c r="BN63" i="184"/>
  <c r="BO63" i="184"/>
  <c r="BP63" i="184"/>
  <c r="BQ63" i="184"/>
  <c r="BR63" i="184"/>
  <c r="BS63" i="184"/>
  <c r="BT63" i="184"/>
  <c r="BU63" i="184"/>
  <c r="BV63" i="184"/>
  <c r="BW63" i="184"/>
  <c r="BX63" i="184"/>
  <c r="BY63" i="184"/>
  <c r="BZ63" i="184"/>
  <c r="CA63" i="184"/>
  <c r="CB63" i="184"/>
  <c r="CC63" i="184"/>
  <c r="CD63" i="184"/>
  <c r="CE63" i="184"/>
  <c r="CF63" i="184"/>
  <c r="CG63" i="184"/>
  <c r="CH63" i="184"/>
  <c r="CI63" i="184"/>
  <c r="CJ63" i="184"/>
  <c r="CK63" i="184"/>
  <c r="CL63" i="184"/>
  <c r="CM63" i="184"/>
  <c r="CN63" i="184"/>
  <c r="CO63" i="184"/>
  <c r="CP63" i="184"/>
  <c r="CQ63" i="184"/>
  <c r="CR63" i="184"/>
  <c r="CS63" i="184"/>
  <c r="CT63" i="184"/>
  <c r="CU63" i="184"/>
  <c r="CV63" i="184"/>
  <c r="CW63" i="184"/>
  <c r="CX63" i="184"/>
  <c r="CY63" i="184"/>
  <c r="CZ63" i="184"/>
  <c r="DA63" i="184"/>
  <c r="DB63" i="184"/>
  <c r="DC63" i="184"/>
  <c r="DD63" i="184"/>
  <c r="DE63" i="184"/>
  <c r="DF63" i="184"/>
  <c r="DG63" i="184"/>
  <c r="DH63" i="184"/>
  <c r="DI63" i="184"/>
  <c r="DJ63" i="184"/>
  <c r="DK63" i="184"/>
  <c r="DL63" i="184"/>
  <c r="DM63" i="184"/>
  <c r="DN63" i="184"/>
  <c r="DO63" i="184"/>
  <c r="DP63" i="184"/>
  <c r="DQ63" i="184"/>
  <c r="DR63" i="184"/>
  <c r="DS63" i="184"/>
  <c r="DT63" i="184"/>
  <c r="DU63" i="184"/>
  <c r="DV63" i="184"/>
  <c r="DW63" i="184"/>
  <c r="DX63" i="184"/>
  <c r="DY63" i="184"/>
  <c r="DZ63" i="184"/>
  <c r="EA63" i="184"/>
  <c r="EB63" i="184"/>
  <c r="EC63" i="184"/>
  <c r="ED63" i="184"/>
  <c r="EE63" i="184"/>
  <c r="EF63" i="184"/>
  <c r="EG63" i="184"/>
  <c r="EH63" i="184"/>
  <c r="EI63" i="184"/>
  <c r="EJ63" i="184"/>
  <c r="EK63" i="184"/>
  <c r="EL63" i="184"/>
  <c r="EM63" i="184"/>
  <c r="EO63" i="184"/>
  <c r="EQ63" i="184"/>
  <c r="ES63" i="184"/>
  <c r="EU63" i="184"/>
  <c r="EV63" i="184"/>
  <c r="FA63" i="184"/>
  <c r="FB63" i="184"/>
  <c r="FC63" i="184"/>
  <c r="FD63" i="184"/>
  <c r="FE63" i="184"/>
  <c r="FF63" i="184"/>
  <c r="FG63" i="184"/>
  <c r="FH63" i="184"/>
  <c r="FI63" i="184"/>
  <c r="FJ63" i="184"/>
  <c r="FK63" i="184"/>
  <c r="FL63" i="184"/>
  <c r="FM63" i="184"/>
  <c r="FN63" i="184"/>
  <c r="FO63" i="184"/>
  <c r="FP63" i="184"/>
  <c r="FQ63" i="184"/>
  <c r="FR63" i="184"/>
  <c r="FS63" i="184"/>
  <c r="FT63" i="184"/>
  <c r="FU63" i="184"/>
  <c r="FV63" i="184"/>
  <c r="FW63" i="184"/>
  <c r="FX63" i="184"/>
  <c r="FY63" i="184"/>
  <c r="FZ63" i="184"/>
  <c r="GA63" i="184"/>
  <c r="GB63" i="184"/>
  <c r="GC63" i="184"/>
  <c r="GD63" i="184"/>
  <c r="GE63" i="184"/>
  <c r="GF63" i="184"/>
  <c r="GG63" i="184"/>
  <c r="GH63" i="184"/>
  <c r="GI63" i="184"/>
  <c r="GJ63" i="184"/>
  <c r="GK63" i="184"/>
  <c r="GL63" i="184"/>
  <c r="GM63" i="184"/>
  <c r="GN63" i="184"/>
  <c r="GO63" i="184"/>
  <c r="GP63" i="184"/>
  <c r="GQ63" i="184"/>
  <c r="GR63" i="184"/>
  <c r="GS63" i="184"/>
  <c r="GT63" i="184"/>
  <c r="GU63" i="184"/>
  <c r="GV63" i="184"/>
  <c r="GW63" i="184"/>
  <c r="GX63" i="184"/>
  <c r="GY63" i="184"/>
  <c r="GZ63" i="184"/>
  <c r="HA63" i="184"/>
  <c r="HB63" i="184"/>
  <c r="HC63" i="184"/>
  <c r="HD63" i="184"/>
  <c r="HE63" i="184"/>
  <c r="HF63" i="184"/>
  <c r="HG63" i="184"/>
  <c r="HH63" i="184"/>
  <c r="HI63" i="184"/>
  <c r="HJ63" i="184"/>
  <c r="HK63" i="184"/>
  <c r="HL63" i="184"/>
  <c r="HM63" i="184"/>
  <c r="HN63" i="184"/>
  <c r="HO63" i="184"/>
  <c r="HP63" i="184"/>
  <c r="HQ63" i="184"/>
  <c r="HR63" i="184"/>
  <c r="HS63" i="184"/>
  <c r="HT63" i="184"/>
  <c r="HU63" i="184"/>
  <c r="HV63" i="184"/>
  <c r="HW63" i="184"/>
  <c r="HX63" i="184"/>
  <c r="HY63" i="184"/>
  <c r="HZ63" i="184"/>
  <c r="IA63" i="184"/>
  <c r="IB63" i="184"/>
  <c r="IC63" i="184"/>
  <c r="ID63" i="184"/>
  <c r="IE63" i="184"/>
  <c r="IF63" i="184"/>
  <c r="IG63" i="184"/>
  <c r="IH63" i="184"/>
  <c r="II63" i="184"/>
  <c r="IJ63" i="184"/>
  <c r="IK63" i="184"/>
  <c r="IL63" i="184"/>
  <c r="IM63" i="184"/>
  <c r="IN63" i="184"/>
  <c r="IO63" i="184"/>
  <c r="IP63" i="184"/>
  <c r="IQ63" i="184"/>
  <c r="IR63" i="184"/>
  <c r="IS63" i="184"/>
  <c r="IT63" i="184"/>
  <c r="IU63" i="184"/>
  <c r="IV63" i="184"/>
  <c r="A62" i="184"/>
  <c r="B62" i="184"/>
  <c r="C62" i="184"/>
  <c r="D62" i="184"/>
  <c r="E62" i="184"/>
  <c r="G62" i="184"/>
  <c r="H62" i="184"/>
  <c r="I62" i="184"/>
  <c r="J62" i="184"/>
  <c r="K62" i="184"/>
  <c r="L62" i="184"/>
  <c r="M62" i="184"/>
  <c r="N62" i="184"/>
  <c r="O62" i="184"/>
  <c r="P62" i="184"/>
  <c r="Q62" i="184"/>
  <c r="R62" i="184"/>
  <c r="S62" i="184"/>
  <c r="T62" i="184"/>
  <c r="U62" i="184"/>
  <c r="V62" i="184"/>
  <c r="W62" i="184"/>
  <c r="X62" i="184"/>
  <c r="Y62" i="184"/>
  <c r="Z62" i="184"/>
  <c r="AA62" i="184"/>
  <c r="AB62" i="184"/>
  <c r="AC62" i="184"/>
  <c r="AD62" i="184"/>
  <c r="AE62" i="184"/>
  <c r="AF62" i="184"/>
  <c r="AG62" i="184"/>
  <c r="AH62" i="184"/>
  <c r="AI62" i="184"/>
  <c r="AJ62" i="184"/>
  <c r="AK62" i="184"/>
  <c r="AL62" i="184"/>
  <c r="AM62" i="184"/>
  <c r="AN62" i="184"/>
  <c r="AO62" i="184"/>
  <c r="AP62" i="184"/>
  <c r="AQ62" i="184"/>
  <c r="AR62" i="184"/>
  <c r="AS62" i="184"/>
  <c r="AT62" i="184"/>
  <c r="AU62" i="184"/>
  <c r="AV62" i="184"/>
  <c r="AW62" i="184"/>
  <c r="AX62" i="184"/>
  <c r="AY62" i="184"/>
  <c r="AZ62" i="184"/>
  <c r="BA62" i="184"/>
  <c r="BB62" i="184"/>
  <c r="BC62" i="184"/>
  <c r="BD62" i="184"/>
  <c r="BE62" i="184"/>
  <c r="BF62" i="184"/>
  <c r="BG62" i="184"/>
  <c r="BH62" i="184"/>
  <c r="BI62" i="184"/>
  <c r="BJ62" i="184"/>
  <c r="BK62" i="184"/>
  <c r="BL62" i="184"/>
  <c r="BM62" i="184"/>
  <c r="BN62" i="184"/>
  <c r="BO62" i="184"/>
  <c r="BP62" i="184"/>
  <c r="BQ62" i="184"/>
  <c r="BR62" i="184"/>
  <c r="BS62" i="184"/>
  <c r="BT62" i="184"/>
  <c r="BU62" i="184"/>
  <c r="BV62" i="184"/>
  <c r="BW62" i="184"/>
  <c r="BX62" i="184"/>
  <c r="BY62" i="184"/>
  <c r="BZ62" i="184"/>
  <c r="CA62" i="184"/>
  <c r="CB62" i="184"/>
  <c r="CC62" i="184"/>
  <c r="CD62" i="184"/>
  <c r="CE62" i="184"/>
  <c r="CF62" i="184"/>
  <c r="CG62" i="184"/>
  <c r="CH62" i="184"/>
  <c r="CI62" i="184"/>
  <c r="CJ62" i="184"/>
  <c r="CK62" i="184"/>
  <c r="CL62" i="184"/>
  <c r="CM62" i="184"/>
  <c r="CN62" i="184"/>
  <c r="CO62" i="184"/>
  <c r="CP62" i="184"/>
  <c r="CQ62" i="184"/>
  <c r="CR62" i="184"/>
  <c r="CS62" i="184"/>
  <c r="CT62" i="184"/>
  <c r="CU62" i="184"/>
  <c r="CV62" i="184"/>
  <c r="CW62" i="184"/>
  <c r="CX62" i="184"/>
  <c r="CY62" i="184"/>
  <c r="CZ62" i="184"/>
  <c r="DA62" i="184"/>
  <c r="DB62" i="184"/>
  <c r="DC62" i="184"/>
  <c r="DD62" i="184"/>
  <c r="DE62" i="184"/>
  <c r="DF62" i="184"/>
  <c r="DG62" i="184"/>
  <c r="DH62" i="184"/>
  <c r="DI62" i="184"/>
  <c r="DJ62" i="184"/>
  <c r="DK62" i="184"/>
  <c r="DL62" i="184"/>
  <c r="DM62" i="184"/>
  <c r="DN62" i="184"/>
  <c r="DO62" i="184"/>
  <c r="DP62" i="184"/>
  <c r="DQ62" i="184"/>
  <c r="DR62" i="184"/>
  <c r="DS62" i="184"/>
  <c r="DT62" i="184"/>
  <c r="DU62" i="184"/>
  <c r="DV62" i="184"/>
  <c r="DW62" i="184"/>
  <c r="DX62" i="184"/>
  <c r="DY62" i="184"/>
  <c r="DZ62" i="184"/>
  <c r="EA62" i="184"/>
  <c r="EB62" i="184"/>
  <c r="EC62" i="184"/>
  <c r="ED62" i="184"/>
  <c r="EE62" i="184"/>
  <c r="EF62" i="184"/>
  <c r="EG62" i="184"/>
  <c r="EH62" i="184"/>
  <c r="EI62" i="184"/>
  <c r="EJ62" i="184"/>
  <c r="EK62" i="184"/>
  <c r="EL62" i="184"/>
  <c r="EM62" i="184"/>
  <c r="EN62" i="184"/>
  <c r="EO62" i="184"/>
  <c r="EP62" i="184"/>
  <c r="EQ62" i="184"/>
  <c r="ER62" i="184"/>
  <c r="ES62" i="184"/>
  <c r="ET62" i="184"/>
  <c r="EU62" i="184"/>
  <c r="EV62" i="184"/>
  <c r="EW62" i="184"/>
  <c r="EX62" i="184"/>
  <c r="EY62" i="184"/>
  <c r="EZ62" i="184"/>
  <c r="FA62" i="184"/>
  <c r="FB62" i="184"/>
  <c r="FC62" i="184"/>
  <c r="FD62" i="184"/>
  <c r="FE62" i="184"/>
  <c r="FF62" i="184"/>
  <c r="FG62" i="184"/>
  <c r="FH62" i="184"/>
  <c r="FI62" i="184"/>
  <c r="FJ62" i="184"/>
  <c r="FK62" i="184"/>
  <c r="FL62" i="184"/>
  <c r="FM62" i="184"/>
  <c r="FN62" i="184"/>
  <c r="FO62" i="184"/>
  <c r="FP62" i="184"/>
  <c r="FQ62" i="184"/>
  <c r="FR62" i="184"/>
  <c r="FS62" i="184"/>
  <c r="FT62" i="184"/>
  <c r="FU62" i="184"/>
  <c r="FV62" i="184"/>
  <c r="FW62" i="184"/>
  <c r="FX62" i="184"/>
  <c r="FY62" i="184"/>
  <c r="FZ62" i="184"/>
  <c r="GA62" i="184"/>
  <c r="GB62" i="184"/>
  <c r="GC62" i="184"/>
  <c r="GD62" i="184"/>
  <c r="GE62" i="184"/>
  <c r="GF62" i="184"/>
  <c r="GG62" i="184"/>
  <c r="GH62" i="184"/>
  <c r="GI62" i="184"/>
  <c r="GJ62" i="184"/>
  <c r="GK62" i="184"/>
  <c r="GL62" i="184"/>
  <c r="GM62" i="184"/>
  <c r="GN62" i="184"/>
  <c r="GO62" i="184"/>
  <c r="GP62" i="184"/>
  <c r="GQ62" i="184"/>
  <c r="GR62" i="184"/>
  <c r="GS62" i="184"/>
  <c r="GT62" i="184"/>
  <c r="GU62" i="184"/>
  <c r="GV62" i="184"/>
  <c r="GW62" i="184"/>
  <c r="GX62" i="184"/>
  <c r="GY62" i="184"/>
  <c r="GZ62" i="184"/>
  <c r="HA62" i="184"/>
  <c r="HB62" i="184"/>
  <c r="HC62" i="184"/>
  <c r="HD62" i="184"/>
  <c r="HE62" i="184"/>
  <c r="HF62" i="184"/>
  <c r="HG62" i="184"/>
  <c r="HH62" i="184"/>
  <c r="HI62" i="184"/>
  <c r="HJ62" i="184"/>
  <c r="HK62" i="184"/>
  <c r="HL62" i="184"/>
  <c r="HM62" i="184"/>
  <c r="HN62" i="184"/>
  <c r="HO62" i="184"/>
  <c r="HP62" i="184"/>
  <c r="HQ62" i="184"/>
  <c r="HR62" i="184"/>
  <c r="HS62" i="184"/>
  <c r="HT62" i="184"/>
  <c r="HU62" i="184"/>
  <c r="HV62" i="184"/>
  <c r="HW62" i="184"/>
  <c r="HX62" i="184"/>
  <c r="HY62" i="184"/>
  <c r="HZ62" i="184"/>
  <c r="IA62" i="184"/>
  <c r="IB62" i="184"/>
  <c r="IC62" i="184"/>
  <c r="ID62" i="184"/>
  <c r="IE62" i="184"/>
  <c r="IF62" i="184"/>
  <c r="IG62" i="184"/>
  <c r="IH62" i="184"/>
  <c r="II62" i="184"/>
  <c r="IJ62" i="184"/>
  <c r="IK62" i="184"/>
  <c r="IL62" i="184"/>
  <c r="IM62" i="184"/>
  <c r="IN62" i="184"/>
  <c r="IO62" i="184"/>
  <c r="IP62" i="184"/>
  <c r="IQ62" i="184"/>
  <c r="IR62" i="184"/>
  <c r="IS62" i="184"/>
  <c r="IT62" i="184"/>
  <c r="IU62" i="184"/>
  <c r="IV62" i="184"/>
  <c r="A61" i="184"/>
  <c r="B61" i="184"/>
  <c r="C61" i="184"/>
  <c r="D61" i="184"/>
  <c r="E61" i="184"/>
  <c r="F61" i="184"/>
  <c r="G61" i="184"/>
  <c r="H61" i="184"/>
  <c r="I61" i="184"/>
  <c r="J61" i="184"/>
  <c r="K61" i="184"/>
  <c r="L61" i="184"/>
  <c r="M61" i="184"/>
  <c r="N61" i="184"/>
  <c r="O61" i="184"/>
  <c r="P61" i="184"/>
  <c r="Q61" i="184"/>
  <c r="R61" i="184"/>
  <c r="S61" i="184"/>
  <c r="T61" i="184"/>
  <c r="U61" i="184"/>
  <c r="V61" i="184"/>
  <c r="W61" i="184"/>
  <c r="X61" i="184"/>
  <c r="Y61" i="184"/>
  <c r="Z61" i="184"/>
  <c r="AA61" i="184"/>
  <c r="AB61" i="184"/>
  <c r="AC61" i="184"/>
  <c r="AD61" i="184"/>
  <c r="AE61" i="184"/>
  <c r="AF61" i="184"/>
  <c r="AG61" i="184"/>
  <c r="AH61" i="184"/>
  <c r="AI61" i="184"/>
  <c r="AJ61" i="184"/>
  <c r="AK61" i="184"/>
  <c r="AL61" i="184"/>
  <c r="AM61" i="184"/>
  <c r="AN61" i="184"/>
  <c r="AO61" i="184"/>
  <c r="AP61" i="184"/>
  <c r="AQ61" i="184"/>
  <c r="AR61" i="184"/>
  <c r="AS61" i="184"/>
  <c r="AT61" i="184"/>
  <c r="AU61" i="184"/>
  <c r="AV61" i="184"/>
  <c r="AW61" i="184"/>
  <c r="AX61" i="184"/>
  <c r="AY61" i="184"/>
  <c r="AZ61" i="184"/>
  <c r="BA61" i="184"/>
  <c r="BB61" i="184"/>
  <c r="BC61" i="184"/>
  <c r="BD61" i="184"/>
  <c r="BE61" i="184"/>
  <c r="BF61" i="184"/>
  <c r="BG61" i="184"/>
  <c r="BH61" i="184"/>
  <c r="BI61" i="184"/>
  <c r="BJ61" i="184"/>
  <c r="BK61" i="184"/>
  <c r="BL61" i="184"/>
  <c r="BM61" i="184"/>
  <c r="BN61" i="184"/>
  <c r="BO61" i="184"/>
  <c r="BP61" i="184"/>
  <c r="BQ61" i="184"/>
  <c r="BR61" i="184"/>
  <c r="BS61" i="184"/>
  <c r="BT61" i="184"/>
  <c r="BU61" i="184"/>
  <c r="BV61" i="184"/>
  <c r="BW61" i="184"/>
  <c r="BX61" i="184"/>
  <c r="BY61" i="184"/>
  <c r="BZ61" i="184"/>
  <c r="CA61" i="184"/>
  <c r="CB61" i="184"/>
  <c r="CC61" i="184"/>
  <c r="CD61" i="184"/>
  <c r="CE61" i="184"/>
  <c r="CF61" i="184"/>
  <c r="CG61" i="184"/>
  <c r="CH61" i="184"/>
  <c r="CI61" i="184"/>
  <c r="CJ61" i="184"/>
  <c r="CK61" i="184"/>
  <c r="CL61" i="184"/>
  <c r="CM61" i="184"/>
  <c r="CN61" i="184"/>
  <c r="CO61" i="184"/>
  <c r="CP61" i="184"/>
  <c r="CQ61" i="184"/>
  <c r="CR61" i="184"/>
  <c r="CS61" i="184"/>
  <c r="CT61" i="184"/>
  <c r="CU61" i="184"/>
  <c r="CV61" i="184"/>
  <c r="CW61" i="184"/>
  <c r="CX61" i="184"/>
  <c r="CY61" i="184"/>
  <c r="CZ61" i="184"/>
  <c r="DA61" i="184"/>
  <c r="DB61" i="184"/>
  <c r="DC61" i="184"/>
  <c r="DD61" i="184"/>
  <c r="DE61" i="184"/>
  <c r="DF61" i="184"/>
  <c r="DG61" i="184"/>
  <c r="DH61" i="184"/>
  <c r="DI61" i="184"/>
  <c r="DJ61" i="184"/>
  <c r="DK61" i="184"/>
  <c r="DL61" i="184"/>
  <c r="DM61" i="184"/>
  <c r="DN61" i="184"/>
  <c r="DO61" i="184"/>
  <c r="DP61" i="184"/>
  <c r="DQ61" i="184"/>
  <c r="DR61" i="184"/>
  <c r="DS61" i="184"/>
  <c r="DT61" i="184"/>
  <c r="DU61" i="184"/>
  <c r="DV61" i="184"/>
  <c r="DW61" i="184"/>
  <c r="DX61" i="184"/>
  <c r="DY61" i="184"/>
  <c r="DZ61" i="184"/>
  <c r="EA61" i="184"/>
  <c r="EB61" i="184"/>
  <c r="EC61" i="184"/>
  <c r="ED61" i="184"/>
  <c r="EE61" i="184"/>
  <c r="EF61" i="184"/>
  <c r="EG61" i="184"/>
  <c r="EH61" i="184"/>
  <c r="EI61" i="184"/>
  <c r="EJ61" i="184"/>
  <c r="EK61" i="184"/>
  <c r="EL61" i="184"/>
  <c r="EM61" i="184"/>
  <c r="EN61" i="184"/>
  <c r="EO61" i="184"/>
  <c r="EP61" i="184"/>
  <c r="EQ61" i="184"/>
  <c r="ER61" i="184"/>
  <c r="ES61" i="184"/>
  <c r="ET61" i="184"/>
  <c r="EU61" i="184"/>
  <c r="EV61" i="184"/>
  <c r="EW61" i="184"/>
  <c r="EX61" i="184"/>
  <c r="EY61" i="184"/>
  <c r="EZ61" i="184"/>
  <c r="FA61" i="184"/>
  <c r="FB61" i="184"/>
  <c r="FC61" i="184"/>
  <c r="FD61" i="184"/>
  <c r="FE61" i="184"/>
  <c r="FF61" i="184"/>
  <c r="FG61" i="184"/>
  <c r="FH61" i="184"/>
  <c r="FI61" i="184"/>
  <c r="FJ61" i="184"/>
  <c r="FK61" i="184"/>
  <c r="FL61" i="184"/>
  <c r="FM61" i="184"/>
  <c r="FN61" i="184"/>
  <c r="FO61" i="184"/>
  <c r="FP61" i="184"/>
  <c r="FQ61" i="184"/>
  <c r="FR61" i="184"/>
  <c r="FS61" i="184"/>
  <c r="FT61" i="184"/>
  <c r="FU61" i="184"/>
  <c r="FV61" i="184"/>
  <c r="FW61" i="184"/>
  <c r="FX61" i="184"/>
  <c r="FY61" i="184"/>
  <c r="FZ61" i="184"/>
  <c r="GA61" i="184"/>
  <c r="GB61" i="184"/>
  <c r="GC61" i="184"/>
  <c r="GD61" i="184"/>
  <c r="GE61" i="184"/>
  <c r="GF61" i="184"/>
  <c r="GG61" i="184"/>
  <c r="GH61" i="184"/>
  <c r="GI61" i="184"/>
  <c r="GJ61" i="184"/>
  <c r="GK61" i="184"/>
  <c r="GL61" i="184"/>
  <c r="GM61" i="184"/>
  <c r="GN61" i="184"/>
  <c r="GO61" i="184"/>
  <c r="GP61" i="184"/>
  <c r="GQ61" i="184"/>
  <c r="GR61" i="184"/>
  <c r="GS61" i="184"/>
  <c r="GT61" i="184"/>
  <c r="GU61" i="184"/>
  <c r="GV61" i="184"/>
  <c r="GW61" i="184"/>
  <c r="GX61" i="184"/>
  <c r="GY61" i="184"/>
  <c r="GZ61" i="184"/>
  <c r="HA61" i="184"/>
  <c r="HB61" i="184"/>
  <c r="HC61" i="184"/>
  <c r="HD61" i="184"/>
  <c r="HE61" i="184"/>
  <c r="HF61" i="184"/>
  <c r="HG61" i="184"/>
  <c r="HH61" i="184"/>
  <c r="HI61" i="184"/>
  <c r="HJ61" i="184"/>
  <c r="HK61" i="184"/>
  <c r="HL61" i="184"/>
  <c r="HM61" i="184"/>
  <c r="HN61" i="184"/>
  <c r="HO61" i="184"/>
  <c r="HP61" i="184"/>
  <c r="HQ61" i="184"/>
  <c r="HR61" i="184"/>
  <c r="HS61" i="184"/>
  <c r="HT61" i="184"/>
  <c r="HU61" i="184"/>
  <c r="HV61" i="184"/>
  <c r="HW61" i="184"/>
  <c r="HX61" i="184"/>
  <c r="HY61" i="184"/>
  <c r="HZ61" i="184"/>
  <c r="IA61" i="184"/>
  <c r="IB61" i="184"/>
  <c r="IC61" i="184"/>
  <c r="ID61" i="184"/>
  <c r="IE61" i="184"/>
  <c r="IF61" i="184"/>
  <c r="IG61" i="184"/>
  <c r="IH61" i="184"/>
  <c r="II61" i="184"/>
  <c r="IJ61" i="184"/>
  <c r="IK61" i="184"/>
  <c r="IL61" i="184"/>
  <c r="IM61" i="184"/>
  <c r="IN61" i="184"/>
  <c r="IO61" i="184"/>
  <c r="IP61" i="184"/>
  <c r="IQ61" i="184"/>
  <c r="IR61" i="184"/>
  <c r="IS61" i="184"/>
  <c r="IT61" i="184"/>
  <c r="IU61" i="184"/>
  <c r="IV61" i="184"/>
  <c r="A60" i="184"/>
  <c r="B60" i="184"/>
  <c r="C60" i="184"/>
  <c r="D60" i="184"/>
  <c r="E60" i="184"/>
  <c r="F60" i="184"/>
  <c r="G60" i="184"/>
  <c r="I60" i="184"/>
  <c r="J60" i="184"/>
  <c r="K60" i="184"/>
  <c r="L60" i="184"/>
  <c r="M60" i="184"/>
  <c r="N60" i="184"/>
  <c r="O60" i="184"/>
  <c r="P60" i="184"/>
  <c r="Q60" i="184"/>
  <c r="R60" i="184"/>
  <c r="S60" i="184"/>
  <c r="T60" i="184"/>
  <c r="U60" i="184"/>
  <c r="V60" i="184"/>
  <c r="W60" i="184"/>
  <c r="X60" i="184"/>
  <c r="Y60" i="184"/>
  <c r="Z60" i="184"/>
  <c r="AA60" i="184"/>
  <c r="AB60" i="184"/>
  <c r="AD60" i="184"/>
  <c r="AF60" i="184"/>
  <c r="AH60" i="184"/>
  <c r="AJ60" i="184"/>
  <c r="AK60" i="184"/>
  <c r="AL60" i="184"/>
  <c r="AM60" i="184"/>
  <c r="AN60" i="184"/>
  <c r="AO60" i="184"/>
  <c r="AP60" i="184"/>
  <c r="AQ60" i="184"/>
  <c r="AR60" i="184"/>
  <c r="AS60" i="184"/>
  <c r="AT60" i="184"/>
  <c r="AU60" i="184"/>
  <c r="AV60" i="184"/>
  <c r="AW60" i="184"/>
  <c r="AX60" i="184"/>
  <c r="AY60" i="184"/>
  <c r="AZ60" i="184"/>
  <c r="BA60" i="184"/>
  <c r="BB60" i="184"/>
  <c r="BC60" i="184"/>
  <c r="BD60" i="184"/>
  <c r="BE60" i="184"/>
  <c r="BF60" i="184"/>
  <c r="BG60" i="184"/>
  <c r="BH60" i="184"/>
  <c r="BI60" i="184"/>
  <c r="BJ60" i="184"/>
  <c r="BK60" i="184"/>
  <c r="BL60" i="184"/>
  <c r="BM60" i="184"/>
  <c r="BN60" i="184"/>
  <c r="BO60" i="184"/>
  <c r="BP60" i="184"/>
  <c r="BQ60" i="184"/>
  <c r="BR60" i="184"/>
  <c r="BS60" i="184"/>
  <c r="BT60" i="184"/>
  <c r="BU60" i="184"/>
  <c r="BV60" i="184"/>
  <c r="BW60" i="184"/>
  <c r="BX60" i="184"/>
  <c r="BY60" i="184"/>
  <c r="BZ60" i="184"/>
  <c r="CA60" i="184"/>
  <c r="CB60" i="184"/>
  <c r="CC60" i="184"/>
  <c r="CD60" i="184"/>
  <c r="CE60" i="184"/>
  <c r="CF60" i="184"/>
  <c r="CG60" i="184"/>
  <c r="CH60" i="184"/>
  <c r="CI60" i="184"/>
  <c r="CJ60" i="184"/>
  <c r="CK60" i="184"/>
  <c r="CL60" i="184"/>
  <c r="CM60" i="184"/>
  <c r="CN60" i="184"/>
  <c r="CO60" i="184"/>
  <c r="CP60" i="184"/>
  <c r="CQ60" i="184"/>
  <c r="CR60" i="184"/>
  <c r="CS60" i="184"/>
  <c r="CT60" i="184"/>
  <c r="CU60" i="184"/>
  <c r="CV60" i="184"/>
  <c r="CW60" i="184"/>
  <c r="CX60" i="184"/>
  <c r="CY60" i="184"/>
  <c r="CZ60" i="184"/>
  <c r="DA60" i="184"/>
  <c r="DB60" i="184"/>
  <c r="DC60" i="184"/>
  <c r="DD60" i="184"/>
  <c r="DE60" i="184"/>
  <c r="DF60" i="184"/>
  <c r="DG60" i="184"/>
  <c r="DH60" i="184"/>
  <c r="DI60" i="184"/>
  <c r="DJ60" i="184"/>
  <c r="DK60" i="184"/>
  <c r="DL60" i="184"/>
  <c r="DM60" i="184"/>
  <c r="DN60" i="184"/>
  <c r="DO60" i="184"/>
  <c r="DP60" i="184"/>
  <c r="DQ60" i="184"/>
  <c r="DR60" i="184"/>
  <c r="DS60" i="184"/>
  <c r="DT60" i="184"/>
  <c r="DU60" i="184"/>
  <c r="DV60" i="184"/>
  <c r="DW60" i="184"/>
  <c r="DX60" i="184"/>
  <c r="DY60" i="184"/>
  <c r="DZ60" i="184"/>
  <c r="EA60" i="184"/>
  <c r="EB60" i="184"/>
  <c r="EC60" i="184"/>
  <c r="ED60" i="184"/>
  <c r="EE60" i="184"/>
  <c r="EF60" i="184"/>
  <c r="EG60" i="184"/>
  <c r="EH60" i="184"/>
  <c r="EI60" i="184"/>
  <c r="EJ60" i="184"/>
  <c r="EK60" i="184"/>
  <c r="EL60" i="184"/>
  <c r="EM60" i="184"/>
  <c r="EN60" i="184"/>
  <c r="EO60" i="184"/>
  <c r="EP60" i="184"/>
  <c r="EQ60" i="184"/>
  <c r="ER60" i="184"/>
  <c r="ES60" i="184"/>
  <c r="ET60" i="184"/>
  <c r="EU60" i="184"/>
  <c r="EV60" i="184"/>
  <c r="EW60" i="184"/>
  <c r="EX60" i="184"/>
  <c r="EY60" i="184"/>
  <c r="EZ60" i="184"/>
  <c r="FA60" i="184"/>
  <c r="FB60" i="184"/>
  <c r="FC60" i="184"/>
  <c r="FD60" i="184"/>
  <c r="FE60" i="184"/>
  <c r="FF60" i="184"/>
  <c r="FG60" i="184"/>
  <c r="FH60" i="184"/>
  <c r="FI60" i="184"/>
  <c r="FJ60" i="184"/>
  <c r="FK60" i="184"/>
  <c r="FL60" i="184"/>
  <c r="FM60" i="184"/>
  <c r="FN60" i="184"/>
  <c r="FO60" i="184"/>
  <c r="FP60" i="184"/>
  <c r="FQ60" i="184"/>
  <c r="FR60" i="184"/>
  <c r="FS60" i="184"/>
  <c r="FT60" i="184"/>
  <c r="FU60" i="184"/>
  <c r="FV60" i="184"/>
  <c r="FW60" i="184"/>
  <c r="FX60" i="184"/>
  <c r="FY60" i="184"/>
  <c r="FZ60" i="184"/>
  <c r="GA60" i="184"/>
  <c r="GB60" i="184"/>
  <c r="GC60" i="184"/>
  <c r="GD60" i="184"/>
  <c r="GE60" i="184"/>
  <c r="GF60" i="184"/>
  <c r="GG60" i="184"/>
  <c r="GH60" i="184"/>
  <c r="GI60" i="184"/>
  <c r="GJ60" i="184"/>
  <c r="GK60" i="184"/>
  <c r="GL60" i="184"/>
  <c r="GM60" i="184"/>
  <c r="GN60" i="184"/>
  <c r="GO60" i="184"/>
  <c r="GP60" i="184"/>
  <c r="GQ60" i="184"/>
  <c r="GR60" i="184"/>
  <c r="GS60" i="184"/>
  <c r="GT60" i="184"/>
  <c r="GU60" i="184"/>
  <c r="GV60" i="184"/>
  <c r="GW60" i="184"/>
  <c r="GX60" i="184"/>
  <c r="GY60" i="184"/>
  <c r="GZ60" i="184"/>
  <c r="HA60" i="184"/>
  <c r="HB60" i="184"/>
  <c r="HC60" i="184"/>
  <c r="HD60" i="184"/>
  <c r="HE60" i="184"/>
  <c r="HF60" i="184"/>
  <c r="HG60" i="184"/>
  <c r="HH60" i="184"/>
  <c r="HI60" i="184"/>
  <c r="HJ60" i="184"/>
  <c r="HK60" i="184"/>
  <c r="HL60" i="184"/>
  <c r="HM60" i="184"/>
  <c r="HN60" i="184"/>
  <c r="HO60" i="184"/>
  <c r="HP60" i="184"/>
  <c r="HQ60" i="184"/>
  <c r="HR60" i="184"/>
  <c r="HS60" i="184"/>
  <c r="HT60" i="184"/>
  <c r="HU60" i="184"/>
  <c r="HV60" i="184"/>
  <c r="HW60" i="184"/>
  <c r="HX60" i="184"/>
  <c r="HY60" i="184"/>
  <c r="HZ60" i="184"/>
  <c r="IA60" i="184"/>
  <c r="IB60" i="184"/>
  <c r="IC60" i="184"/>
  <c r="ID60" i="184"/>
  <c r="IE60" i="184"/>
  <c r="IF60" i="184"/>
  <c r="IG60" i="184"/>
  <c r="IH60" i="184"/>
  <c r="II60" i="184"/>
  <c r="IJ60" i="184"/>
  <c r="IK60" i="184"/>
  <c r="IL60" i="184"/>
  <c r="IM60" i="184"/>
  <c r="IN60" i="184"/>
  <c r="IO60" i="184"/>
  <c r="IP60" i="184"/>
  <c r="IQ60" i="184"/>
  <c r="IR60" i="184"/>
  <c r="IS60" i="184"/>
  <c r="IT60" i="184"/>
  <c r="IU60" i="184"/>
  <c r="IV60" i="184"/>
  <c r="A59" i="184"/>
  <c r="B59" i="184"/>
  <c r="C59" i="184"/>
  <c r="D59" i="184"/>
  <c r="E59" i="184"/>
  <c r="F59" i="184"/>
  <c r="G59" i="184"/>
  <c r="H59" i="184"/>
  <c r="I59" i="184"/>
  <c r="J59" i="184"/>
  <c r="K59" i="184"/>
  <c r="L59" i="184"/>
  <c r="M59" i="184"/>
  <c r="N59" i="184"/>
  <c r="O59" i="184"/>
  <c r="P59" i="184"/>
  <c r="Q59" i="184"/>
  <c r="R59" i="184"/>
  <c r="S59" i="184"/>
  <c r="T59" i="184"/>
  <c r="U59" i="184"/>
  <c r="V59" i="184"/>
  <c r="W59" i="184"/>
  <c r="X59" i="184"/>
  <c r="Y59" i="184"/>
  <c r="Z59" i="184"/>
  <c r="AA59" i="184"/>
  <c r="AB59" i="184"/>
  <c r="AC59" i="184"/>
  <c r="AD59" i="184"/>
  <c r="AE59" i="184"/>
  <c r="AF59" i="184"/>
  <c r="AG59" i="184"/>
  <c r="AH59" i="184"/>
  <c r="AI59" i="184"/>
  <c r="AJ59" i="184"/>
  <c r="AK59" i="184"/>
  <c r="AL59" i="184"/>
  <c r="AM59" i="184"/>
  <c r="AN59" i="184"/>
  <c r="AO59" i="184"/>
  <c r="AP59" i="184"/>
  <c r="AQ59" i="184"/>
  <c r="AR59" i="184"/>
  <c r="AS59" i="184"/>
  <c r="AT59" i="184"/>
  <c r="AU59" i="184"/>
  <c r="AV59" i="184"/>
  <c r="AW59" i="184"/>
  <c r="AX59" i="184"/>
  <c r="AY59" i="184"/>
  <c r="AZ59" i="184"/>
  <c r="BA59" i="184"/>
  <c r="BB59" i="184"/>
  <c r="BC59" i="184"/>
  <c r="BD59" i="184"/>
  <c r="BE59" i="184"/>
  <c r="BF59" i="184"/>
  <c r="BG59" i="184"/>
  <c r="BH59" i="184"/>
  <c r="BI59" i="184"/>
  <c r="BJ59" i="184"/>
  <c r="BK59" i="184"/>
  <c r="BL59" i="184"/>
  <c r="BM59" i="184"/>
  <c r="BN59" i="184"/>
  <c r="BO59" i="184"/>
  <c r="BP59" i="184"/>
  <c r="BQ59" i="184"/>
  <c r="BR59" i="184"/>
  <c r="BS59" i="184"/>
  <c r="BT59" i="184"/>
  <c r="BU59" i="184"/>
  <c r="BV59" i="184"/>
  <c r="BW59" i="184"/>
  <c r="BX59" i="184"/>
  <c r="BY59" i="184"/>
  <c r="BZ59" i="184"/>
  <c r="CA59" i="184"/>
  <c r="CB59" i="184"/>
  <c r="CC59" i="184"/>
  <c r="CD59" i="184"/>
  <c r="CE59" i="184"/>
  <c r="CF59" i="184"/>
  <c r="CG59" i="184"/>
  <c r="CH59" i="184"/>
  <c r="CI59" i="184"/>
  <c r="CJ59" i="184"/>
  <c r="CK59" i="184"/>
  <c r="CL59" i="184"/>
  <c r="CM59" i="184"/>
  <c r="CN59" i="184"/>
  <c r="CO59" i="184"/>
  <c r="CP59" i="184"/>
  <c r="CQ59" i="184"/>
  <c r="CR59" i="184"/>
  <c r="CS59" i="184"/>
  <c r="CT59" i="184"/>
  <c r="CU59" i="184"/>
  <c r="CV59" i="184"/>
  <c r="CW59" i="184"/>
  <c r="CX59" i="184"/>
  <c r="CY59" i="184"/>
  <c r="CZ59" i="184"/>
  <c r="DA59" i="184"/>
  <c r="DB59" i="184"/>
  <c r="DC59" i="184"/>
  <c r="DD59" i="184"/>
  <c r="DE59" i="184"/>
  <c r="DF59" i="184"/>
  <c r="DG59" i="184"/>
  <c r="DH59" i="184"/>
  <c r="DI59" i="184"/>
  <c r="DJ59" i="184"/>
  <c r="DK59" i="184"/>
  <c r="DL59" i="184"/>
  <c r="DM59" i="184"/>
  <c r="DN59" i="184"/>
  <c r="DO59" i="184"/>
  <c r="DP59" i="184"/>
  <c r="DQ59" i="184"/>
  <c r="DR59" i="184"/>
  <c r="DS59" i="184"/>
  <c r="DT59" i="184"/>
  <c r="DU59" i="184"/>
  <c r="DV59" i="184"/>
  <c r="DW59" i="184"/>
  <c r="DX59" i="184"/>
  <c r="DY59" i="184"/>
  <c r="DZ59" i="184"/>
  <c r="EA59" i="184"/>
  <c r="EB59" i="184"/>
  <c r="EC59" i="184"/>
  <c r="ED59" i="184"/>
  <c r="EE59" i="184"/>
  <c r="EF59" i="184"/>
  <c r="EG59" i="184"/>
  <c r="EH59" i="184"/>
  <c r="EI59" i="184"/>
  <c r="EJ59" i="184"/>
  <c r="EK59" i="184"/>
  <c r="EL59" i="184"/>
  <c r="EM59" i="184"/>
  <c r="EN59" i="184"/>
  <c r="EO59" i="184"/>
  <c r="EP59" i="184"/>
  <c r="EQ59" i="184"/>
  <c r="ER59" i="184"/>
  <c r="ES59" i="184"/>
  <c r="ET59" i="184"/>
  <c r="EU59" i="184"/>
  <c r="EV59" i="184"/>
  <c r="EW59" i="184"/>
  <c r="EX59" i="184"/>
  <c r="EY59" i="184"/>
  <c r="EZ59" i="184"/>
  <c r="FA59" i="184"/>
  <c r="FB59" i="184"/>
  <c r="FC59" i="184"/>
  <c r="FD59" i="184"/>
  <c r="FE59" i="184"/>
  <c r="FF59" i="184"/>
  <c r="FG59" i="184"/>
  <c r="FH59" i="184"/>
  <c r="FI59" i="184"/>
  <c r="FJ59" i="184"/>
  <c r="FK59" i="184"/>
  <c r="FL59" i="184"/>
  <c r="FM59" i="184"/>
  <c r="FN59" i="184"/>
  <c r="FO59" i="184"/>
  <c r="FP59" i="184"/>
  <c r="FQ59" i="184"/>
  <c r="FR59" i="184"/>
  <c r="FS59" i="184"/>
  <c r="FT59" i="184"/>
  <c r="FU59" i="184"/>
  <c r="FV59" i="184"/>
  <c r="FW59" i="184"/>
  <c r="FX59" i="184"/>
  <c r="FY59" i="184"/>
  <c r="FZ59" i="184"/>
  <c r="GA59" i="184"/>
  <c r="GB59" i="184"/>
  <c r="GC59" i="184"/>
  <c r="GD59" i="184"/>
  <c r="GE59" i="184"/>
  <c r="GF59" i="184"/>
  <c r="GG59" i="184"/>
  <c r="GH59" i="184"/>
  <c r="GI59" i="184"/>
  <c r="GJ59" i="184"/>
  <c r="GK59" i="184"/>
  <c r="GL59" i="184"/>
  <c r="GM59" i="184"/>
  <c r="GN59" i="184"/>
  <c r="GO59" i="184"/>
  <c r="GP59" i="184"/>
  <c r="GQ59" i="184"/>
  <c r="GR59" i="184"/>
  <c r="GS59" i="184"/>
  <c r="GT59" i="184"/>
  <c r="GU59" i="184"/>
  <c r="GV59" i="184"/>
  <c r="GW59" i="184"/>
  <c r="GX59" i="184"/>
  <c r="GY59" i="184"/>
  <c r="GZ59" i="184"/>
  <c r="HA59" i="184"/>
  <c r="HB59" i="184"/>
  <c r="HC59" i="184"/>
  <c r="HD59" i="184"/>
  <c r="HE59" i="184"/>
  <c r="HF59" i="184"/>
  <c r="HG59" i="184"/>
  <c r="HH59" i="184"/>
  <c r="HI59" i="184"/>
  <c r="HJ59" i="184"/>
  <c r="HK59" i="184"/>
  <c r="HL59" i="184"/>
  <c r="HM59" i="184"/>
  <c r="HN59" i="184"/>
  <c r="HO59" i="184"/>
  <c r="HP59" i="184"/>
  <c r="HQ59" i="184"/>
  <c r="HR59" i="184"/>
  <c r="HS59" i="184"/>
  <c r="HT59" i="184"/>
  <c r="HU59" i="184"/>
  <c r="HV59" i="184"/>
  <c r="HW59" i="184"/>
  <c r="HX59" i="184"/>
  <c r="HY59" i="184"/>
  <c r="HZ59" i="184"/>
  <c r="IA59" i="184"/>
  <c r="IB59" i="184"/>
  <c r="IC59" i="184"/>
  <c r="ID59" i="184"/>
  <c r="IE59" i="184"/>
  <c r="IF59" i="184"/>
  <c r="IG59" i="184"/>
  <c r="IH59" i="184"/>
  <c r="II59" i="184"/>
  <c r="IJ59" i="184"/>
  <c r="IK59" i="184"/>
  <c r="IL59" i="184"/>
  <c r="IM59" i="184"/>
  <c r="IN59" i="184"/>
  <c r="IO59" i="184"/>
  <c r="IP59" i="184"/>
  <c r="IQ59" i="184"/>
  <c r="IR59" i="184"/>
  <c r="IS59" i="184"/>
  <c r="IT59" i="184"/>
  <c r="IU59" i="184"/>
  <c r="IV59" i="184"/>
  <c r="A58" i="184"/>
  <c r="B58" i="184"/>
  <c r="C58" i="184"/>
  <c r="D58" i="184"/>
  <c r="E58" i="184"/>
  <c r="F58" i="184"/>
  <c r="G58" i="184"/>
  <c r="H58" i="184"/>
  <c r="I58" i="184"/>
  <c r="J58" i="184"/>
  <c r="K58" i="184"/>
  <c r="L58" i="184"/>
  <c r="M58" i="184"/>
  <c r="N58" i="184"/>
  <c r="O58" i="184"/>
  <c r="P58" i="184"/>
  <c r="Q58" i="184"/>
  <c r="R58" i="184"/>
  <c r="S58" i="184"/>
  <c r="T58" i="184"/>
  <c r="U58" i="184"/>
  <c r="V58" i="184"/>
  <c r="W58" i="184"/>
  <c r="X58" i="184"/>
  <c r="Y58" i="184"/>
  <c r="Z58" i="184"/>
  <c r="AA58" i="184"/>
  <c r="AB58" i="184"/>
  <c r="AC58" i="184"/>
  <c r="AD58" i="184"/>
  <c r="AE58" i="184"/>
  <c r="AF58" i="184"/>
  <c r="AG58" i="184"/>
  <c r="AH58" i="184"/>
  <c r="AI58" i="184"/>
  <c r="AJ58" i="184"/>
  <c r="AK58" i="184"/>
  <c r="AL58" i="184"/>
  <c r="AM58" i="184"/>
  <c r="AN58" i="184"/>
  <c r="AO58" i="184"/>
  <c r="AP58" i="184"/>
  <c r="AQ58" i="184"/>
  <c r="AR58" i="184"/>
  <c r="AS58" i="184"/>
  <c r="AT58" i="184"/>
  <c r="AU58" i="184"/>
  <c r="AV58" i="184"/>
  <c r="AW58" i="184"/>
  <c r="AX58" i="184"/>
  <c r="AY58" i="184"/>
  <c r="AZ58" i="184"/>
  <c r="BA58" i="184"/>
  <c r="BB58" i="184"/>
  <c r="BC58" i="184"/>
  <c r="BD58" i="184"/>
  <c r="BE58" i="184"/>
  <c r="BF58" i="184"/>
  <c r="BG58" i="184"/>
  <c r="BH58" i="184"/>
  <c r="BI58" i="184"/>
  <c r="BJ58" i="184"/>
  <c r="BK58" i="184"/>
  <c r="BL58" i="184"/>
  <c r="BM58" i="184"/>
  <c r="BN58" i="184"/>
  <c r="BO58" i="184"/>
  <c r="BP58" i="184"/>
  <c r="BQ58" i="184"/>
  <c r="BR58" i="184"/>
  <c r="BS58" i="184"/>
  <c r="BT58" i="184"/>
  <c r="BU58" i="184"/>
  <c r="BV58" i="184"/>
  <c r="BW58" i="184"/>
  <c r="BX58" i="184"/>
  <c r="BY58" i="184"/>
  <c r="BZ58" i="184"/>
  <c r="CA58" i="184"/>
  <c r="CB58" i="184"/>
  <c r="CC58" i="184"/>
  <c r="CD58" i="184"/>
  <c r="CE58" i="184"/>
  <c r="CF58" i="184"/>
  <c r="CG58" i="184"/>
  <c r="CH58" i="184"/>
  <c r="CI58" i="184"/>
  <c r="CJ58" i="184"/>
  <c r="CK58" i="184"/>
  <c r="CL58" i="184"/>
  <c r="CM58" i="184"/>
  <c r="CN58" i="184"/>
  <c r="CO58" i="184"/>
  <c r="CP58" i="184"/>
  <c r="CQ58" i="184"/>
  <c r="CR58" i="184"/>
  <c r="CS58" i="184"/>
  <c r="CT58" i="184"/>
  <c r="CU58" i="184"/>
  <c r="CV58" i="184"/>
  <c r="CW58" i="184"/>
  <c r="CX58" i="184"/>
  <c r="CY58" i="184"/>
  <c r="CZ58" i="184"/>
  <c r="DA58" i="184"/>
  <c r="DB58" i="184"/>
  <c r="DC58" i="184"/>
  <c r="DD58" i="184"/>
  <c r="DE58" i="184"/>
  <c r="DF58" i="184"/>
  <c r="DG58" i="184"/>
  <c r="DH58" i="184"/>
  <c r="DI58" i="184"/>
  <c r="DJ58" i="184"/>
  <c r="DK58" i="184"/>
  <c r="DL58" i="184"/>
  <c r="DM58" i="184"/>
  <c r="DN58" i="184"/>
  <c r="DO58" i="184"/>
  <c r="DP58" i="184"/>
  <c r="DQ58" i="184"/>
  <c r="DR58" i="184"/>
  <c r="DS58" i="184"/>
  <c r="DT58" i="184"/>
  <c r="DU58" i="184"/>
  <c r="DV58" i="184"/>
  <c r="DW58" i="184"/>
  <c r="DX58" i="184"/>
  <c r="DY58" i="184"/>
  <c r="DZ58" i="184"/>
  <c r="EA58" i="184"/>
  <c r="EB58" i="184"/>
  <c r="EC58" i="184"/>
  <c r="ED58" i="184"/>
  <c r="EE58" i="184"/>
  <c r="EF58" i="184"/>
  <c r="EG58" i="184"/>
  <c r="EH58" i="184"/>
  <c r="EI58" i="184"/>
  <c r="EJ58" i="184"/>
  <c r="EK58" i="184"/>
  <c r="EL58" i="184"/>
  <c r="EM58" i="184"/>
  <c r="EN58" i="184"/>
  <c r="EO58" i="184"/>
  <c r="EP58" i="184"/>
  <c r="EQ58" i="184"/>
  <c r="ER58" i="184"/>
  <c r="ES58" i="184"/>
  <c r="ET58" i="184"/>
  <c r="EU58" i="184"/>
  <c r="EV58" i="184"/>
  <c r="EW58" i="184"/>
  <c r="EX58" i="184"/>
  <c r="EY58" i="184"/>
  <c r="EZ58" i="184"/>
  <c r="FA58" i="184"/>
  <c r="FB58" i="184"/>
  <c r="FC58" i="184"/>
  <c r="FD58" i="184"/>
  <c r="FE58" i="184"/>
  <c r="FF58" i="184"/>
  <c r="FG58" i="184"/>
  <c r="FH58" i="184"/>
  <c r="FI58" i="184"/>
  <c r="FJ58" i="184"/>
  <c r="FU58" i="184"/>
  <c r="FW58" i="184"/>
  <c r="FX58" i="184"/>
  <c r="FY58" i="184"/>
  <c r="FZ58" i="184"/>
  <c r="GA58" i="184"/>
  <c r="GB58" i="184"/>
  <c r="GC58" i="184"/>
  <c r="GD58" i="184"/>
  <c r="GE58" i="184"/>
  <c r="GF58" i="184"/>
  <c r="GG58" i="184"/>
  <c r="GH58" i="184"/>
  <c r="GI58" i="184"/>
  <c r="GJ58" i="184"/>
  <c r="GK58" i="184"/>
  <c r="GL58" i="184"/>
  <c r="GM58" i="184"/>
  <c r="GN58" i="184"/>
  <c r="GO58" i="184"/>
  <c r="GP58" i="184"/>
  <c r="GQ58" i="184"/>
  <c r="GR58" i="184"/>
  <c r="GS58" i="184"/>
  <c r="GT58" i="184"/>
  <c r="GU58" i="184"/>
  <c r="GV58" i="184"/>
  <c r="GW58" i="184"/>
  <c r="GX58" i="184"/>
  <c r="GY58" i="184"/>
  <c r="GZ58" i="184"/>
  <c r="HA58" i="184"/>
  <c r="HB58" i="184"/>
  <c r="HC58" i="184"/>
  <c r="HD58" i="184"/>
  <c r="HE58" i="184"/>
  <c r="HF58" i="184"/>
  <c r="HG58" i="184"/>
  <c r="HH58" i="184"/>
  <c r="HI58" i="184"/>
  <c r="HJ58" i="184"/>
  <c r="HK58" i="184"/>
  <c r="HL58" i="184"/>
  <c r="HM58" i="184"/>
  <c r="HN58" i="184"/>
  <c r="HO58" i="184"/>
  <c r="HP58" i="184"/>
  <c r="HQ58" i="184"/>
  <c r="HR58" i="184"/>
  <c r="HS58" i="184"/>
  <c r="HT58" i="184"/>
  <c r="HU58" i="184"/>
  <c r="HV58" i="184"/>
  <c r="HW58" i="184"/>
  <c r="HX58" i="184"/>
  <c r="HY58" i="184"/>
  <c r="HZ58" i="184"/>
  <c r="IA58" i="184"/>
  <c r="IB58" i="184"/>
  <c r="IC58" i="184"/>
  <c r="ID58" i="184"/>
  <c r="IE58" i="184"/>
  <c r="IF58" i="184"/>
  <c r="IG58" i="184"/>
  <c r="IH58" i="184"/>
  <c r="II58" i="184"/>
  <c r="IJ58" i="184"/>
  <c r="IK58" i="184"/>
  <c r="IL58" i="184"/>
  <c r="IM58" i="184"/>
  <c r="IN58" i="184"/>
  <c r="IO58" i="184"/>
  <c r="IP58" i="184"/>
  <c r="IQ58" i="184"/>
  <c r="IR58" i="184"/>
  <c r="IS58" i="184"/>
  <c r="IT58" i="184"/>
  <c r="IU58" i="184"/>
  <c r="IV58" i="184"/>
  <c r="A57" i="184"/>
  <c r="B57" i="184"/>
  <c r="C57" i="184"/>
  <c r="D57" i="184"/>
  <c r="E57" i="184"/>
  <c r="F57" i="184"/>
  <c r="G57" i="184"/>
  <c r="H57" i="184"/>
  <c r="I57" i="184"/>
  <c r="J57" i="184"/>
  <c r="K57" i="184"/>
  <c r="M57" i="184"/>
  <c r="N57" i="184"/>
  <c r="O57" i="184"/>
  <c r="P57" i="184"/>
  <c r="Q57" i="184"/>
  <c r="R57" i="184"/>
  <c r="S57" i="184"/>
  <c r="T57" i="184"/>
  <c r="U57" i="184"/>
  <c r="V57" i="184"/>
  <c r="W57" i="184"/>
  <c r="X57" i="184"/>
  <c r="Y57" i="184"/>
  <c r="Z57" i="184"/>
  <c r="AA57" i="184"/>
  <c r="AB57" i="184"/>
  <c r="AC57" i="184"/>
  <c r="AD57" i="184"/>
  <c r="AE57" i="184"/>
  <c r="AF57" i="184"/>
  <c r="AG57" i="184"/>
  <c r="AH57" i="184"/>
  <c r="AI57" i="184"/>
  <c r="AJ57" i="184"/>
  <c r="AK57" i="184"/>
  <c r="AL57" i="184"/>
  <c r="AM57" i="184"/>
  <c r="AN57" i="184"/>
  <c r="AO57" i="184"/>
  <c r="AP57" i="184"/>
  <c r="AQ57" i="184"/>
  <c r="AR57" i="184"/>
  <c r="AS57" i="184"/>
  <c r="AT57" i="184"/>
  <c r="AU57" i="184"/>
  <c r="AV57" i="184"/>
  <c r="AW57" i="184"/>
  <c r="AX57" i="184"/>
  <c r="AY57" i="184"/>
  <c r="AZ57" i="184"/>
  <c r="BA57" i="184"/>
  <c r="BB57" i="184"/>
  <c r="BC57" i="184"/>
  <c r="BD57" i="184"/>
  <c r="BE57" i="184"/>
  <c r="BF57" i="184"/>
  <c r="BG57" i="184"/>
  <c r="BH57" i="184"/>
  <c r="BI57" i="184"/>
  <c r="BJ57" i="184"/>
  <c r="BK57" i="184"/>
  <c r="BL57" i="184"/>
  <c r="BM57" i="184"/>
  <c r="BN57" i="184"/>
  <c r="BO57" i="184"/>
  <c r="BP57" i="184"/>
  <c r="BQ57" i="184"/>
  <c r="BR57" i="184"/>
  <c r="BS57" i="184"/>
  <c r="BT57" i="184"/>
  <c r="BU57" i="184"/>
  <c r="BV57" i="184"/>
  <c r="BW57" i="184"/>
  <c r="BX57" i="184"/>
  <c r="BY57" i="184"/>
  <c r="BZ57" i="184"/>
  <c r="CA57" i="184"/>
  <c r="CB57" i="184"/>
  <c r="CC57" i="184"/>
  <c r="CD57" i="184"/>
  <c r="CE57" i="184"/>
  <c r="CF57" i="184"/>
  <c r="CG57" i="184"/>
  <c r="CH57" i="184"/>
  <c r="CI57" i="184"/>
  <c r="CJ57" i="184"/>
  <c r="CK57" i="184"/>
  <c r="CL57" i="184"/>
  <c r="CM57" i="184"/>
  <c r="CN57" i="184"/>
  <c r="CO57" i="184"/>
  <c r="CP57" i="184"/>
  <c r="CQ57" i="184"/>
  <c r="CR57" i="184"/>
  <c r="CS57" i="184"/>
  <c r="CT57" i="184"/>
  <c r="CU57" i="184"/>
  <c r="CV57" i="184"/>
  <c r="CW57" i="184"/>
  <c r="CX57" i="184"/>
  <c r="CY57" i="184"/>
  <c r="CZ57" i="184"/>
  <c r="DA57" i="184"/>
  <c r="DB57" i="184"/>
  <c r="DC57" i="184"/>
  <c r="DD57" i="184"/>
  <c r="DE57" i="184"/>
  <c r="DF57" i="184"/>
  <c r="DG57" i="184"/>
  <c r="DH57" i="184"/>
  <c r="DI57" i="184"/>
  <c r="DJ57" i="184"/>
  <c r="DK57" i="184"/>
  <c r="DL57" i="184"/>
  <c r="DM57" i="184"/>
  <c r="DN57" i="184"/>
  <c r="DO57" i="184"/>
  <c r="DP57" i="184"/>
  <c r="DQ57" i="184"/>
  <c r="DR57" i="184"/>
  <c r="DS57" i="184"/>
  <c r="DT57" i="184"/>
  <c r="DU57" i="184"/>
  <c r="DV57" i="184"/>
  <c r="DW57" i="184"/>
  <c r="DX57" i="184"/>
  <c r="DY57" i="184"/>
  <c r="DZ57" i="184"/>
  <c r="EA57" i="184"/>
  <c r="EB57" i="184"/>
  <c r="EC57" i="184"/>
  <c r="ED57" i="184"/>
  <c r="EE57" i="184"/>
  <c r="EF57" i="184"/>
  <c r="EG57" i="184"/>
  <c r="EH57" i="184"/>
  <c r="EI57" i="184"/>
  <c r="EJ57" i="184"/>
  <c r="EK57" i="184"/>
  <c r="EL57" i="184"/>
  <c r="EM57" i="184"/>
  <c r="EN57" i="184"/>
  <c r="EO57" i="184"/>
  <c r="EP57" i="184"/>
  <c r="EQ57" i="184"/>
  <c r="ER57" i="184"/>
  <c r="ES57" i="184"/>
  <c r="ET57" i="184"/>
  <c r="EU57" i="184"/>
  <c r="EV57" i="184"/>
  <c r="EW57" i="184"/>
  <c r="EX57" i="184"/>
  <c r="EY57" i="184"/>
  <c r="EZ57" i="184"/>
  <c r="FA57" i="184"/>
  <c r="FB57" i="184"/>
  <c r="FC57" i="184"/>
  <c r="FD57" i="184"/>
  <c r="FE57" i="184"/>
  <c r="FF57" i="184"/>
  <c r="FG57" i="184"/>
  <c r="FH57" i="184"/>
  <c r="FI57" i="184"/>
  <c r="FJ57" i="184"/>
  <c r="FK57" i="184"/>
  <c r="FL57" i="184"/>
  <c r="FM57" i="184"/>
  <c r="FN57" i="184"/>
  <c r="FO57" i="184"/>
  <c r="FP57" i="184"/>
  <c r="FQ57" i="184"/>
  <c r="FR57" i="184"/>
  <c r="FS57" i="184"/>
  <c r="FT57" i="184"/>
  <c r="FU57" i="184"/>
  <c r="FV57" i="184"/>
  <c r="FW57" i="184"/>
  <c r="FX57" i="184"/>
  <c r="FY57" i="184"/>
  <c r="FZ57" i="184"/>
  <c r="GA57" i="184"/>
  <c r="GB57" i="184"/>
  <c r="GC57" i="184"/>
  <c r="GD57" i="184"/>
  <c r="GE57" i="184"/>
  <c r="GF57" i="184"/>
  <c r="GG57" i="184"/>
  <c r="GH57" i="184"/>
  <c r="GI57" i="184"/>
  <c r="GJ57" i="184"/>
  <c r="GK57" i="184"/>
  <c r="GL57" i="184"/>
  <c r="GM57" i="184"/>
  <c r="GN57" i="184"/>
  <c r="GO57" i="184"/>
  <c r="GP57" i="184"/>
  <c r="GQ57" i="184"/>
  <c r="GR57" i="184"/>
  <c r="GS57" i="184"/>
  <c r="GT57" i="184"/>
  <c r="GU57" i="184"/>
  <c r="GV57" i="184"/>
  <c r="GW57" i="184"/>
  <c r="GX57" i="184"/>
  <c r="GY57" i="184"/>
  <c r="GZ57" i="184"/>
  <c r="HA57" i="184"/>
  <c r="HB57" i="184"/>
  <c r="HC57" i="184"/>
  <c r="HD57" i="184"/>
  <c r="HE57" i="184"/>
  <c r="HF57" i="184"/>
  <c r="HG57" i="184"/>
  <c r="HH57" i="184"/>
  <c r="HI57" i="184"/>
  <c r="HJ57" i="184"/>
  <c r="HK57" i="184"/>
  <c r="HL57" i="184"/>
  <c r="HM57" i="184"/>
  <c r="HN57" i="184"/>
  <c r="HO57" i="184"/>
  <c r="HP57" i="184"/>
  <c r="HQ57" i="184"/>
  <c r="HR57" i="184"/>
  <c r="HS57" i="184"/>
  <c r="HT57" i="184"/>
  <c r="HU57" i="184"/>
  <c r="HV57" i="184"/>
  <c r="HW57" i="184"/>
  <c r="HX57" i="184"/>
  <c r="HY57" i="184"/>
  <c r="HZ57" i="184"/>
  <c r="IA57" i="184"/>
  <c r="IB57" i="184"/>
  <c r="IC57" i="184"/>
  <c r="ID57" i="184"/>
  <c r="IE57" i="184"/>
  <c r="IF57" i="184"/>
  <c r="IG57" i="184"/>
  <c r="IH57" i="184"/>
  <c r="II57" i="184"/>
  <c r="IJ57" i="184"/>
  <c r="IK57" i="184"/>
  <c r="IL57" i="184"/>
  <c r="IM57" i="184"/>
  <c r="IN57" i="184"/>
  <c r="IO57" i="184"/>
  <c r="IP57" i="184"/>
  <c r="IQ57" i="184"/>
  <c r="IR57" i="184"/>
  <c r="IS57" i="184"/>
  <c r="IT57" i="184"/>
  <c r="IU57" i="184"/>
  <c r="IV57" i="184"/>
  <c r="A56" i="184"/>
  <c r="B56" i="184"/>
  <c r="C56" i="184"/>
  <c r="D56" i="184"/>
  <c r="E56" i="184"/>
  <c r="F56" i="184"/>
  <c r="G56" i="184"/>
  <c r="H56" i="184"/>
  <c r="I56" i="184"/>
  <c r="J56" i="184"/>
  <c r="K56" i="184"/>
  <c r="L56" i="184"/>
  <c r="M56" i="184"/>
  <c r="N56" i="184"/>
  <c r="O56" i="184"/>
  <c r="P56" i="184"/>
  <c r="Q56" i="184"/>
  <c r="R56" i="184"/>
  <c r="S56" i="184"/>
  <c r="T56" i="184"/>
  <c r="U56" i="184"/>
  <c r="V56" i="184"/>
  <c r="W56" i="184"/>
  <c r="X56" i="184"/>
  <c r="Y56" i="184"/>
  <c r="Z56" i="184"/>
  <c r="AA56" i="184"/>
  <c r="AB56" i="184"/>
  <c r="AC56" i="184"/>
  <c r="AD56" i="184"/>
  <c r="AE56" i="184"/>
  <c r="AF56" i="184"/>
  <c r="AG56" i="184"/>
  <c r="AH56" i="184"/>
  <c r="AI56" i="184"/>
  <c r="AJ56" i="184"/>
  <c r="AK56" i="184"/>
  <c r="AL56" i="184"/>
  <c r="AM56" i="184"/>
  <c r="AN56" i="184"/>
  <c r="AO56" i="184"/>
  <c r="AP56" i="184"/>
  <c r="AQ56" i="184"/>
  <c r="AR56" i="184"/>
  <c r="AS56" i="184"/>
  <c r="AT56" i="184"/>
  <c r="AU56" i="184"/>
  <c r="AV56" i="184"/>
  <c r="AW56" i="184"/>
  <c r="AX56" i="184"/>
  <c r="AY56" i="184"/>
  <c r="AZ56" i="184"/>
  <c r="BA56" i="184"/>
  <c r="BB56" i="184"/>
  <c r="BC56" i="184"/>
  <c r="BD56" i="184"/>
  <c r="BE56" i="184"/>
  <c r="BF56" i="184"/>
  <c r="BG56" i="184"/>
  <c r="BH56" i="184"/>
  <c r="BI56" i="184"/>
  <c r="BJ56" i="184"/>
  <c r="BK56" i="184"/>
  <c r="BL56" i="184"/>
  <c r="BM56" i="184"/>
  <c r="BN56" i="184"/>
  <c r="BO56" i="184"/>
  <c r="BP56" i="184"/>
  <c r="BQ56" i="184"/>
  <c r="BR56" i="184"/>
  <c r="BS56" i="184"/>
  <c r="BT56" i="184"/>
  <c r="BU56" i="184"/>
  <c r="BV56" i="184"/>
  <c r="BW56" i="184"/>
  <c r="BX56" i="184"/>
  <c r="BY56" i="184"/>
  <c r="BZ56" i="184"/>
  <c r="CA56" i="184"/>
  <c r="CB56" i="184"/>
  <c r="CC56" i="184"/>
  <c r="CD56" i="184"/>
  <c r="CE56" i="184"/>
  <c r="CF56" i="184"/>
  <c r="CG56" i="184"/>
  <c r="CH56" i="184"/>
  <c r="CI56" i="184"/>
  <c r="CJ56" i="184"/>
  <c r="CK56" i="184"/>
  <c r="CL56" i="184"/>
  <c r="CM56" i="184"/>
  <c r="CN56" i="184"/>
  <c r="CO56" i="184"/>
  <c r="CP56" i="184"/>
  <c r="CQ56" i="184"/>
  <c r="CR56" i="184"/>
  <c r="CS56" i="184"/>
  <c r="CT56" i="184"/>
  <c r="CU56" i="184"/>
  <c r="CV56" i="184"/>
  <c r="CW56" i="184"/>
  <c r="CX56" i="184"/>
  <c r="CY56" i="184"/>
  <c r="CZ56" i="184"/>
  <c r="DA56" i="184"/>
  <c r="DB56" i="184"/>
  <c r="DC56" i="184"/>
  <c r="DD56" i="184"/>
  <c r="DE56" i="184"/>
  <c r="DF56" i="184"/>
  <c r="DG56" i="184"/>
  <c r="DH56" i="184"/>
  <c r="DI56" i="184"/>
  <c r="DJ56" i="184"/>
  <c r="DK56" i="184"/>
  <c r="DL56" i="184"/>
  <c r="DM56" i="184"/>
  <c r="DN56" i="184"/>
  <c r="DO56" i="184"/>
  <c r="DP56" i="184"/>
  <c r="DQ56" i="184"/>
  <c r="DR56" i="184"/>
  <c r="DS56" i="184"/>
  <c r="DT56" i="184"/>
  <c r="DU56" i="184"/>
  <c r="DV56" i="184"/>
  <c r="DW56" i="184"/>
  <c r="DX56" i="184"/>
  <c r="DY56" i="184"/>
  <c r="DZ56" i="184"/>
  <c r="EA56" i="184"/>
  <c r="EB56" i="184"/>
  <c r="EC56" i="184"/>
  <c r="ED56" i="184"/>
  <c r="EE56" i="184"/>
  <c r="EF56" i="184"/>
  <c r="EG56" i="184"/>
  <c r="EH56" i="184"/>
  <c r="EI56" i="184"/>
  <c r="EJ56" i="184"/>
  <c r="EK56" i="184"/>
  <c r="EL56" i="184"/>
  <c r="EM56" i="184"/>
  <c r="EN56" i="184"/>
  <c r="EO56" i="184"/>
  <c r="EP56" i="184"/>
  <c r="EQ56" i="184"/>
  <c r="ER56" i="184"/>
  <c r="ES56" i="184"/>
  <c r="ET56" i="184"/>
  <c r="EU56" i="184"/>
  <c r="EV56" i="184"/>
  <c r="EW56" i="184"/>
  <c r="EX56" i="184"/>
  <c r="EY56" i="184"/>
  <c r="EZ56" i="184"/>
  <c r="FA56" i="184"/>
  <c r="FB56" i="184"/>
  <c r="FC56" i="184"/>
  <c r="FD56" i="184"/>
  <c r="FE56" i="184"/>
  <c r="FF56" i="184"/>
  <c r="FG56" i="184"/>
  <c r="FH56" i="184"/>
  <c r="FI56" i="184"/>
  <c r="FJ56" i="184"/>
  <c r="FK56" i="184"/>
  <c r="FL56" i="184"/>
  <c r="FM56" i="184"/>
  <c r="FN56" i="184"/>
  <c r="FO56" i="184"/>
  <c r="FP56" i="184"/>
  <c r="FQ56" i="184"/>
  <c r="FR56" i="184"/>
  <c r="FS56" i="184"/>
  <c r="FT56" i="184"/>
  <c r="FU56" i="184"/>
  <c r="FV56" i="184"/>
  <c r="FW56" i="184"/>
  <c r="FX56" i="184"/>
  <c r="FY56" i="184"/>
  <c r="FZ56" i="184"/>
  <c r="GA56" i="184"/>
  <c r="GB56" i="184"/>
  <c r="GC56" i="184"/>
  <c r="GD56" i="184"/>
  <c r="GE56" i="184"/>
  <c r="GF56" i="184"/>
  <c r="GG56" i="184"/>
  <c r="GH56" i="184"/>
  <c r="GI56" i="184"/>
  <c r="GJ56" i="184"/>
  <c r="GK56" i="184"/>
  <c r="GL56" i="184"/>
  <c r="GM56" i="184"/>
  <c r="GN56" i="184"/>
  <c r="GO56" i="184"/>
  <c r="GP56" i="184"/>
  <c r="GQ56" i="184"/>
  <c r="GR56" i="184"/>
  <c r="GS56" i="184"/>
  <c r="GT56" i="184"/>
  <c r="GU56" i="184"/>
  <c r="GV56" i="184"/>
  <c r="GW56" i="184"/>
  <c r="GX56" i="184"/>
  <c r="GY56" i="184"/>
  <c r="GZ56" i="184"/>
  <c r="HA56" i="184"/>
  <c r="HB56" i="184"/>
  <c r="HC56" i="184"/>
  <c r="HD56" i="184"/>
  <c r="HE56" i="184"/>
  <c r="HF56" i="184"/>
  <c r="HG56" i="184"/>
  <c r="HH56" i="184"/>
  <c r="HI56" i="184"/>
  <c r="HJ56" i="184"/>
  <c r="HK56" i="184"/>
  <c r="HL56" i="184"/>
  <c r="HM56" i="184"/>
  <c r="HN56" i="184"/>
  <c r="HO56" i="184"/>
  <c r="HP56" i="184"/>
  <c r="HQ56" i="184"/>
  <c r="HR56" i="184"/>
  <c r="HS56" i="184"/>
  <c r="HT56" i="184"/>
  <c r="HU56" i="184"/>
  <c r="HV56" i="184"/>
  <c r="HW56" i="184"/>
  <c r="HX56" i="184"/>
  <c r="HY56" i="184"/>
  <c r="HZ56" i="184"/>
  <c r="IA56" i="184"/>
  <c r="IB56" i="184"/>
  <c r="IC56" i="184"/>
  <c r="ID56" i="184"/>
  <c r="IE56" i="184"/>
  <c r="IF56" i="184"/>
  <c r="IG56" i="184"/>
  <c r="IH56" i="184"/>
  <c r="II56" i="184"/>
  <c r="IJ56" i="184"/>
  <c r="IK56" i="184"/>
  <c r="IL56" i="184"/>
  <c r="IM56" i="184"/>
  <c r="IN56" i="184"/>
  <c r="IO56" i="184"/>
  <c r="IP56" i="184"/>
  <c r="IQ56" i="184"/>
  <c r="IR56" i="184"/>
  <c r="IS56" i="184"/>
  <c r="IT56" i="184"/>
  <c r="IU56" i="184"/>
  <c r="IV56" i="184"/>
  <c r="A55" i="184"/>
  <c r="B55" i="184"/>
  <c r="C55" i="184"/>
  <c r="D55" i="184"/>
  <c r="E55" i="184"/>
  <c r="F55" i="184"/>
  <c r="G55" i="184"/>
  <c r="H55" i="184"/>
  <c r="I55" i="184"/>
  <c r="J55" i="184"/>
  <c r="K55" i="184"/>
  <c r="L55" i="184"/>
  <c r="M55" i="184"/>
  <c r="O55" i="184"/>
  <c r="P55" i="184"/>
  <c r="Q55" i="184"/>
  <c r="R55" i="184"/>
  <c r="S55" i="184"/>
  <c r="T55" i="184"/>
  <c r="U55" i="184"/>
  <c r="V55" i="184"/>
  <c r="W55" i="184"/>
  <c r="X55" i="184"/>
  <c r="Y55" i="184"/>
  <c r="Z55" i="184"/>
  <c r="AA55" i="184"/>
  <c r="AB55" i="184"/>
  <c r="AC55" i="184"/>
  <c r="AD55" i="184"/>
  <c r="AE55" i="184"/>
  <c r="AF55" i="184"/>
  <c r="AG55" i="184"/>
  <c r="AH55" i="184"/>
  <c r="AI55" i="184"/>
  <c r="AJ55" i="184"/>
  <c r="AK55" i="184"/>
  <c r="AL55" i="184"/>
  <c r="AM55" i="184"/>
  <c r="AN55" i="184"/>
  <c r="AO55" i="184"/>
  <c r="AP55" i="184"/>
  <c r="AQ55" i="184"/>
  <c r="AR55" i="184"/>
  <c r="AS55" i="184"/>
  <c r="AT55" i="184"/>
  <c r="AU55" i="184"/>
  <c r="AV55" i="184"/>
  <c r="AW55" i="184"/>
  <c r="AX55" i="184"/>
  <c r="AY55" i="184"/>
  <c r="BA55" i="184"/>
  <c r="BC55" i="184"/>
  <c r="BE55" i="184"/>
  <c r="BG55" i="184"/>
  <c r="BI55" i="184"/>
  <c r="BJ55" i="184"/>
  <c r="BK55" i="184"/>
  <c r="BL55" i="184"/>
  <c r="BM55" i="184"/>
  <c r="BN55" i="184"/>
  <c r="BO55" i="184"/>
  <c r="BP55" i="184"/>
  <c r="BQ55" i="184"/>
  <c r="BR55" i="184"/>
  <c r="BS55" i="184"/>
  <c r="BT55" i="184"/>
  <c r="BU55" i="184"/>
  <c r="BV55" i="184"/>
  <c r="BW55" i="184"/>
  <c r="BX55" i="184"/>
  <c r="BY55" i="184"/>
  <c r="BZ55" i="184"/>
  <c r="CA55" i="184"/>
  <c r="CB55" i="184"/>
  <c r="CC55" i="184"/>
  <c r="CD55" i="184"/>
  <c r="CE55" i="184"/>
  <c r="CF55" i="184"/>
  <c r="CG55" i="184"/>
  <c r="CH55" i="184"/>
  <c r="CI55" i="184"/>
  <c r="CJ55" i="184"/>
  <c r="CK55" i="184"/>
  <c r="CL55" i="184"/>
  <c r="CM55" i="184"/>
  <c r="CN55" i="184"/>
  <c r="CO55" i="184"/>
  <c r="CP55" i="184"/>
  <c r="CQ55" i="184"/>
  <c r="CR55" i="184"/>
  <c r="CS55" i="184"/>
  <c r="CT55" i="184"/>
  <c r="CU55" i="184"/>
  <c r="CV55" i="184"/>
  <c r="CW55" i="184"/>
  <c r="CX55" i="184"/>
  <c r="CY55" i="184"/>
  <c r="CZ55" i="184"/>
  <c r="DA55" i="184"/>
  <c r="DB55" i="184"/>
  <c r="DC55" i="184"/>
  <c r="DD55" i="184"/>
  <c r="DE55" i="184"/>
  <c r="DF55" i="184"/>
  <c r="DG55" i="184"/>
  <c r="DH55" i="184"/>
  <c r="DI55" i="184"/>
  <c r="DJ55" i="184"/>
  <c r="DK55" i="184"/>
  <c r="DL55" i="184"/>
  <c r="DM55" i="184"/>
  <c r="DN55" i="184"/>
  <c r="DO55" i="184"/>
  <c r="DP55" i="184"/>
  <c r="DQ55" i="184"/>
  <c r="DR55" i="184"/>
  <c r="DS55" i="184"/>
  <c r="DT55" i="184"/>
  <c r="DU55" i="184"/>
  <c r="DV55" i="184"/>
  <c r="DW55" i="184"/>
  <c r="DX55" i="184"/>
  <c r="DY55" i="184"/>
  <c r="DZ55" i="184"/>
  <c r="EA55" i="184"/>
  <c r="EB55" i="184"/>
  <c r="EC55" i="184"/>
  <c r="ED55" i="184"/>
  <c r="EE55" i="184"/>
  <c r="EF55" i="184"/>
  <c r="EG55" i="184"/>
  <c r="EH55" i="184"/>
  <c r="EI55" i="184"/>
  <c r="EJ55" i="184"/>
  <c r="EK55" i="184"/>
  <c r="EL55" i="184"/>
  <c r="EM55" i="184"/>
  <c r="EN55" i="184"/>
  <c r="EO55" i="184"/>
  <c r="EP55" i="184"/>
  <c r="EQ55" i="184"/>
  <c r="ER55" i="184"/>
  <c r="ES55" i="184"/>
  <c r="ET55" i="184"/>
  <c r="EU55" i="184"/>
  <c r="EV55" i="184"/>
  <c r="EW55" i="184"/>
  <c r="EX55" i="184"/>
  <c r="EY55" i="184"/>
  <c r="EZ55" i="184"/>
  <c r="FA55" i="184"/>
  <c r="FB55" i="184"/>
  <c r="FC55" i="184"/>
  <c r="FD55" i="184"/>
  <c r="FE55" i="184"/>
  <c r="FF55" i="184"/>
  <c r="FG55" i="184"/>
  <c r="FH55" i="184"/>
  <c r="FI55" i="184"/>
  <c r="FJ55" i="184"/>
  <c r="FK55" i="184"/>
  <c r="FL55" i="184"/>
  <c r="FM55" i="184"/>
  <c r="FN55" i="184"/>
  <c r="FO55" i="184"/>
  <c r="FP55" i="184"/>
  <c r="FQ55" i="184"/>
  <c r="FR55" i="184"/>
  <c r="FS55" i="184"/>
  <c r="FT55" i="184"/>
  <c r="FU55" i="184"/>
  <c r="FV55" i="184"/>
  <c r="FW55" i="184"/>
  <c r="FX55" i="184"/>
  <c r="FY55" i="184"/>
  <c r="FZ55" i="184"/>
  <c r="GA55" i="184"/>
  <c r="GB55" i="184"/>
  <c r="GC55" i="184"/>
  <c r="GD55" i="184"/>
  <c r="GE55" i="184"/>
  <c r="GF55" i="184"/>
  <c r="GG55" i="184"/>
  <c r="GH55" i="184"/>
  <c r="GI55" i="184"/>
  <c r="GJ55" i="184"/>
  <c r="GK55" i="184"/>
  <c r="GL55" i="184"/>
  <c r="GM55" i="184"/>
  <c r="GN55" i="184"/>
  <c r="GO55" i="184"/>
  <c r="GP55" i="184"/>
  <c r="GQ55" i="184"/>
  <c r="GR55" i="184"/>
  <c r="GS55" i="184"/>
  <c r="GT55" i="184"/>
  <c r="GU55" i="184"/>
  <c r="GV55" i="184"/>
  <c r="GW55" i="184"/>
  <c r="GX55" i="184"/>
  <c r="GY55" i="184"/>
  <c r="GZ55" i="184"/>
  <c r="HA55" i="184"/>
  <c r="HB55" i="184"/>
  <c r="HC55" i="184"/>
  <c r="HD55" i="184"/>
  <c r="HE55" i="184"/>
  <c r="HF55" i="184"/>
  <c r="HG55" i="184"/>
  <c r="HH55" i="184"/>
  <c r="HI55" i="184"/>
  <c r="HJ55" i="184"/>
  <c r="HK55" i="184"/>
  <c r="HL55" i="184"/>
  <c r="HM55" i="184"/>
  <c r="HN55" i="184"/>
  <c r="HO55" i="184"/>
  <c r="HP55" i="184"/>
  <c r="HQ55" i="184"/>
  <c r="HR55" i="184"/>
  <c r="HS55" i="184"/>
  <c r="HT55" i="184"/>
  <c r="HU55" i="184"/>
  <c r="HV55" i="184"/>
  <c r="HW55" i="184"/>
  <c r="HX55" i="184"/>
  <c r="HY55" i="184"/>
  <c r="HZ55" i="184"/>
  <c r="IA55" i="184"/>
  <c r="IB55" i="184"/>
  <c r="IC55" i="184"/>
  <c r="ID55" i="184"/>
  <c r="IE55" i="184"/>
  <c r="IF55" i="184"/>
  <c r="IG55" i="184"/>
  <c r="IH55" i="184"/>
  <c r="II55" i="184"/>
  <c r="IJ55" i="184"/>
  <c r="IK55" i="184"/>
  <c r="IL55" i="184"/>
  <c r="IM55" i="184"/>
  <c r="IN55" i="184"/>
  <c r="IO55" i="184"/>
  <c r="IP55" i="184"/>
  <c r="IQ55" i="184"/>
  <c r="IR55" i="184"/>
  <c r="IS55" i="184"/>
  <c r="IT55" i="184"/>
  <c r="IU55" i="184"/>
  <c r="IV55" i="184"/>
  <c r="A54" i="184"/>
  <c r="B54" i="184"/>
  <c r="C54" i="184"/>
  <c r="D54" i="184"/>
  <c r="E54" i="184"/>
  <c r="F54" i="184"/>
  <c r="G54" i="184"/>
  <c r="H54" i="184"/>
  <c r="I54" i="184"/>
  <c r="J54" i="184"/>
  <c r="K54" i="184"/>
  <c r="L54" i="184"/>
  <c r="M54" i="184"/>
  <c r="N54" i="184"/>
  <c r="O54" i="184"/>
  <c r="P54" i="184"/>
  <c r="Q54" i="184"/>
  <c r="R54" i="184"/>
  <c r="S54" i="184"/>
  <c r="T54" i="184"/>
  <c r="U54" i="184"/>
  <c r="V54" i="184"/>
  <c r="W54" i="184"/>
  <c r="X54" i="184"/>
  <c r="Y54" i="184"/>
  <c r="Z54" i="184"/>
  <c r="AA54" i="184"/>
  <c r="AB54" i="184"/>
  <c r="AC54" i="184"/>
  <c r="AD54" i="184"/>
  <c r="AE54" i="184"/>
  <c r="AF54" i="184"/>
  <c r="AG54" i="184"/>
  <c r="AH54" i="184"/>
  <c r="AI54" i="184"/>
  <c r="AJ54" i="184"/>
  <c r="AK54" i="184"/>
  <c r="AL54" i="184"/>
  <c r="AM54" i="184"/>
  <c r="AN54" i="184"/>
  <c r="AO54" i="184"/>
  <c r="AP54" i="184"/>
  <c r="AQ54" i="184"/>
  <c r="AR54" i="184"/>
  <c r="AS54" i="184"/>
  <c r="AT54" i="184"/>
  <c r="AU54" i="184"/>
  <c r="AV54" i="184"/>
  <c r="AW54" i="184"/>
  <c r="AX54" i="184"/>
  <c r="AY54" i="184"/>
  <c r="AZ54" i="184"/>
  <c r="BA54" i="184"/>
  <c r="BB54" i="184"/>
  <c r="BC54" i="184"/>
  <c r="BD54" i="184"/>
  <c r="BE54" i="184"/>
  <c r="BF54" i="184"/>
  <c r="BG54" i="184"/>
  <c r="BH54" i="184"/>
  <c r="BI54" i="184"/>
  <c r="BJ54" i="184"/>
  <c r="BK54" i="184"/>
  <c r="BL54" i="184"/>
  <c r="BM54" i="184"/>
  <c r="BN54" i="184"/>
  <c r="BO54" i="184"/>
  <c r="BP54" i="184"/>
  <c r="BQ54" i="184"/>
  <c r="BR54" i="184"/>
  <c r="BS54" i="184"/>
  <c r="BT54" i="184"/>
  <c r="BU54" i="184"/>
  <c r="BV54" i="184"/>
  <c r="BW54" i="184"/>
  <c r="BX54" i="184"/>
  <c r="BY54" i="184"/>
  <c r="BZ54" i="184"/>
  <c r="CA54" i="184"/>
  <c r="CB54" i="184"/>
  <c r="CC54" i="184"/>
  <c r="CD54" i="184"/>
  <c r="CE54" i="184"/>
  <c r="CF54" i="184"/>
  <c r="CG54" i="184"/>
  <c r="CH54" i="184"/>
  <c r="CI54" i="184"/>
  <c r="CJ54" i="184"/>
  <c r="CK54" i="184"/>
  <c r="CL54" i="184"/>
  <c r="CM54" i="184"/>
  <c r="CN54" i="184"/>
  <c r="CO54" i="184"/>
  <c r="CP54" i="184"/>
  <c r="CQ54" i="184"/>
  <c r="CR54" i="184"/>
  <c r="CS54" i="184"/>
  <c r="CT54" i="184"/>
  <c r="CU54" i="184"/>
  <c r="CV54" i="184"/>
  <c r="CW54" i="184"/>
  <c r="CX54" i="184"/>
  <c r="CY54" i="184"/>
  <c r="CZ54" i="184"/>
  <c r="DA54" i="184"/>
  <c r="DB54" i="184"/>
  <c r="DC54" i="184"/>
  <c r="DD54" i="184"/>
  <c r="DE54" i="184"/>
  <c r="DF54" i="184"/>
  <c r="DG54" i="184"/>
  <c r="DH54" i="184"/>
  <c r="DI54" i="184"/>
  <c r="DJ54" i="184"/>
  <c r="DK54" i="184"/>
  <c r="DL54" i="184"/>
  <c r="DM54" i="184"/>
  <c r="DN54" i="184"/>
  <c r="DO54" i="184"/>
  <c r="DP54" i="184"/>
  <c r="DQ54" i="184"/>
  <c r="DR54" i="184"/>
  <c r="DS54" i="184"/>
  <c r="DT54" i="184"/>
  <c r="DU54" i="184"/>
  <c r="DV54" i="184"/>
  <c r="DW54" i="184"/>
  <c r="DX54" i="184"/>
  <c r="DY54" i="184"/>
  <c r="DZ54" i="184"/>
  <c r="EA54" i="184"/>
  <c r="EB54" i="184"/>
  <c r="EC54" i="184"/>
  <c r="ED54" i="184"/>
  <c r="EE54" i="184"/>
  <c r="EF54" i="184"/>
  <c r="EG54" i="184"/>
  <c r="EH54" i="184"/>
  <c r="EI54" i="184"/>
  <c r="EJ54" i="184"/>
  <c r="EK54" i="184"/>
  <c r="EL54" i="184"/>
  <c r="EM54" i="184"/>
  <c r="EN54" i="184"/>
  <c r="EO54" i="184"/>
  <c r="EP54" i="184"/>
  <c r="EQ54" i="184"/>
  <c r="ER54" i="184"/>
  <c r="ES54" i="184"/>
  <c r="ET54" i="184"/>
  <c r="EU54" i="184"/>
  <c r="EV54" i="184"/>
  <c r="EW54" i="184"/>
  <c r="EX54" i="184"/>
  <c r="EY54" i="184"/>
  <c r="EZ54" i="184"/>
  <c r="FA54" i="184"/>
  <c r="FB54" i="184"/>
  <c r="FC54" i="184"/>
  <c r="FD54" i="184"/>
  <c r="FE54" i="184"/>
  <c r="FF54" i="184"/>
  <c r="FG54" i="184"/>
  <c r="FH54" i="184"/>
  <c r="FI54" i="184"/>
  <c r="FJ54" i="184"/>
  <c r="FK54" i="184"/>
  <c r="FL54" i="184"/>
  <c r="FM54" i="184"/>
  <c r="FN54" i="184"/>
  <c r="FO54" i="184"/>
  <c r="FP54" i="184"/>
  <c r="FQ54" i="184"/>
  <c r="FR54" i="184"/>
  <c r="FS54" i="184"/>
  <c r="FT54" i="184"/>
  <c r="FU54" i="184"/>
  <c r="FV54" i="184"/>
  <c r="FW54" i="184"/>
  <c r="FX54" i="184"/>
  <c r="FY54" i="184"/>
  <c r="FZ54" i="184"/>
  <c r="GA54" i="184"/>
  <c r="GB54" i="184"/>
  <c r="GC54" i="184"/>
  <c r="GD54" i="184"/>
  <c r="GE54" i="184"/>
  <c r="GF54" i="184"/>
  <c r="GG54" i="184"/>
  <c r="GH54" i="184"/>
  <c r="GI54" i="184"/>
  <c r="GJ54" i="184"/>
  <c r="GK54" i="184"/>
  <c r="GL54" i="184"/>
  <c r="GM54" i="184"/>
  <c r="GN54" i="184"/>
  <c r="GO54" i="184"/>
  <c r="GP54" i="184"/>
  <c r="GQ54" i="184"/>
  <c r="GR54" i="184"/>
  <c r="GS54" i="184"/>
  <c r="GT54" i="184"/>
  <c r="GU54" i="184"/>
  <c r="GV54" i="184"/>
  <c r="GW54" i="184"/>
  <c r="GX54" i="184"/>
  <c r="GY54" i="184"/>
  <c r="GZ54" i="184"/>
  <c r="HA54" i="184"/>
  <c r="HB54" i="184"/>
  <c r="HC54" i="184"/>
  <c r="HD54" i="184"/>
  <c r="HE54" i="184"/>
  <c r="HF54" i="184"/>
  <c r="HG54" i="184"/>
  <c r="HH54" i="184"/>
  <c r="HI54" i="184"/>
  <c r="HJ54" i="184"/>
  <c r="HK54" i="184"/>
  <c r="HL54" i="184"/>
  <c r="HM54" i="184"/>
  <c r="HN54" i="184"/>
  <c r="HO54" i="184"/>
  <c r="HP54" i="184"/>
  <c r="HQ54" i="184"/>
  <c r="HR54" i="184"/>
  <c r="HS54" i="184"/>
  <c r="HT54" i="184"/>
  <c r="HU54" i="184"/>
  <c r="HV54" i="184"/>
  <c r="HW54" i="184"/>
  <c r="HX54" i="184"/>
  <c r="HY54" i="184"/>
  <c r="HZ54" i="184"/>
  <c r="IA54" i="184"/>
  <c r="IB54" i="184"/>
  <c r="IC54" i="184"/>
  <c r="ID54" i="184"/>
  <c r="IE54" i="184"/>
  <c r="IF54" i="184"/>
  <c r="IG54" i="184"/>
  <c r="IH54" i="184"/>
  <c r="II54" i="184"/>
  <c r="IJ54" i="184"/>
  <c r="IK54" i="184"/>
  <c r="IL54" i="184"/>
  <c r="IM54" i="184"/>
  <c r="IN54" i="184"/>
  <c r="IO54" i="184"/>
  <c r="IP54" i="184"/>
  <c r="IQ54" i="184"/>
  <c r="IR54" i="184"/>
  <c r="IS54" i="184"/>
  <c r="IT54" i="184"/>
  <c r="IU54" i="184"/>
  <c r="IV54" i="184"/>
  <c r="A53" i="184"/>
  <c r="B53" i="184"/>
  <c r="C53" i="184"/>
  <c r="D53" i="184"/>
  <c r="E53" i="184"/>
  <c r="F53" i="184"/>
  <c r="G53" i="184"/>
  <c r="H53" i="184"/>
  <c r="J53" i="184"/>
  <c r="K53" i="184"/>
  <c r="L53" i="184"/>
  <c r="M53" i="184"/>
  <c r="N53" i="184"/>
  <c r="O53" i="184"/>
  <c r="P53" i="184"/>
  <c r="Q53" i="184"/>
  <c r="R53" i="184"/>
  <c r="S53" i="184"/>
  <c r="T53" i="184"/>
  <c r="U53" i="184"/>
  <c r="V53" i="184"/>
  <c r="W53" i="184"/>
  <c r="X53" i="184"/>
  <c r="Y53" i="184"/>
  <c r="Z53" i="184"/>
  <c r="AA53" i="184"/>
  <c r="AB53" i="184"/>
  <c r="AC53" i="184"/>
  <c r="AD53" i="184"/>
  <c r="AE53" i="184"/>
  <c r="AF53" i="184"/>
  <c r="AG53" i="184"/>
  <c r="AH53" i="184"/>
  <c r="AI53" i="184"/>
  <c r="AJ53" i="184"/>
  <c r="AK53" i="184"/>
  <c r="AL53" i="184"/>
  <c r="AM53" i="184"/>
  <c r="AN53" i="184"/>
  <c r="AO53" i="184"/>
  <c r="AP53" i="184"/>
  <c r="AQ53" i="184"/>
  <c r="AR53" i="184"/>
  <c r="AS53" i="184"/>
  <c r="AT53" i="184"/>
  <c r="AU53" i="184"/>
  <c r="AV53" i="184"/>
  <c r="AW53" i="184"/>
  <c r="AX53" i="184"/>
  <c r="AY53" i="184"/>
  <c r="AZ53" i="184"/>
  <c r="BA53" i="184"/>
  <c r="BB53" i="184"/>
  <c r="BC53" i="184"/>
  <c r="BD53" i="184"/>
  <c r="BE53" i="184"/>
  <c r="BF53" i="184"/>
  <c r="BG53" i="184"/>
  <c r="BH53" i="184"/>
  <c r="BI53" i="184"/>
  <c r="BJ53" i="184"/>
  <c r="BK53" i="184"/>
  <c r="BL53" i="184"/>
  <c r="BM53" i="184"/>
  <c r="BN53" i="184"/>
  <c r="BO53" i="184"/>
  <c r="BP53" i="184"/>
  <c r="BQ53" i="184"/>
  <c r="BR53" i="184"/>
  <c r="BS53" i="184"/>
  <c r="BT53" i="184"/>
  <c r="BU53" i="184"/>
  <c r="BV53" i="184"/>
  <c r="BW53" i="184"/>
  <c r="BX53" i="184"/>
  <c r="BY53" i="184"/>
  <c r="BZ53" i="184"/>
  <c r="CA53" i="184"/>
  <c r="CB53" i="184"/>
  <c r="CC53" i="184"/>
  <c r="CD53" i="184"/>
  <c r="CE53" i="184"/>
  <c r="CF53" i="184"/>
  <c r="CG53" i="184"/>
  <c r="CH53" i="184"/>
  <c r="CI53" i="184"/>
  <c r="CJ53" i="184"/>
  <c r="CK53" i="184"/>
  <c r="CL53" i="184"/>
  <c r="CM53" i="184"/>
  <c r="CN53" i="184"/>
  <c r="CO53" i="184"/>
  <c r="CP53" i="184"/>
  <c r="CQ53" i="184"/>
  <c r="CR53" i="184"/>
  <c r="CS53" i="184"/>
  <c r="CT53" i="184"/>
  <c r="CU53" i="184"/>
  <c r="CV53" i="184"/>
  <c r="CW53" i="184"/>
  <c r="CX53" i="184"/>
  <c r="CY53" i="184"/>
  <c r="CZ53" i="184"/>
  <c r="DA53" i="184"/>
  <c r="DB53" i="184"/>
  <c r="DC53" i="184"/>
  <c r="DD53" i="184"/>
  <c r="DE53" i="184"/>
  <c r="DF53" i="184"/>
  <c r="DG53" i="184"/>
  <c r="DH53" i="184"/>
  <c r="DI53" i="184"/>
  <c r="DJ53" i="184"/>
  <c r="DK53" i="184"/>
  <c r="DL53" i="184"/>
  <c r="DM53" i="184"/>
  <c r="DN53" i="184"/>
  <c r="DO53" i="184"/>
  <c r="DP53" i="184"/>
  <c r="DQ53" i="184"/>
  <c r="DR53" i="184"/>
  <c r="DS53" i="184"/>
  <c r="DT53" i="184"/>
  <c r="DU53" i="184"/>
  <c r="DV53" i="184"/>
  <c r="DW53" i="184"/>
  <c r="DX53" i="184"/>
  <c r="DY53" i="184"/>
  <c r="DZ53" i="184"/>
  <c r="EA53" i="184"/>
  <c r="EB53" i="184"/>
  <c r="EC53" i="184"/>
  <c r="ED53" i="184"/>
  <c r="EE53" i="184"/>
  <c r="EF53" i="184"/>
  <c r="EG53" i="184"/>
  <c r="EH53" i="184"/>
  <c r="EI53" i="184"/>
  <c r="EJ53" i="184"/>
  <c r="EK53" i="184"/>
  <c r="EL53" i="184"/>
  <c r="EM53" i="184"/>
  <c r="EN53" i="184"/>
  <c r="EO53" i="184"/>
  <c r="EP53" i="184"/>
  <c r="EQ53" i="184"/>
  <c r="ER53" i="184"/>
  <c r="ES53" i="184"/>
  <c r="ET53" i="184"/>
  <c r="EU53" i="184"/>
  <c r="EV53" i="184"/>
  <c r="EW53" i="184"/>
  <c r="EX53" i="184"/>
  <c r="EY53" i="184"/>
  <c r="EZ53" i="184"/>
  <c r="FA53" i="184"/>
  <c r="FB53" i="184"/>
  <c r="FC53" i="184"/>
  <c r="FD53" i="184"/>
  <c r="FE53" i="184"/>
  <c r="FF53" i="184"/>
  <c r="FG53" i="184"/>
  <c r="FH53" i="184"/>
  <c r="FI53" i="184"/>
  <c r="FJ53" i="184"/>
  <c r="FK53" i="184"/>
  <c r="FL53" i="184"/>
  <c r="FM53" i="184"/>
  <c r="FN53" i="184"/>
  <c r="FO53" i="184"/>
  <c r="FP53" i="184"/>
  <c r="FQ53" i="184"/>
  <c r="FR53" i="184"/>
  <c r="FS53" i="184"/>
  <c r="FT53" i="184"/>
  <c r="FU53" i="184"/>
  <c r="FV53" i="184"/>
  <c r="FW53" i="184"/>
  <c r="FX53" i="184"/>
  <c r="FY53" i="184"/>
  <c r="FZ53" i="184"/>
  <c r="GA53" i="184"/>
  <c r="GB53" i="184"/>
  <c r="GC53" i="184"/>
  <c r="GD53" i="184"/>
  <c r="GE53" i="184"/>
  <c r="GF53" i="184"/>
  <c r="GG53" i="184"/>
  <c r="GP53" i="184"/>
  <c r="GU53" i="184"/>
  <c r="GV53" i="184"/>
  <c r="GW53" i="184"/>
  <c r="GX53" i="184"/>
  <c r="GY53" i="184"/>
  <c r="GZ53" i="184"/>
  <c r="HA53" i="184"/>
  <c r="HB53" i="184"/>
  <c r="HC53" i="184"/>
  <c r="HD53" i="184"/>
  <c r="HE53" i="184"/>
  <c r="HF53" i="184"/>
  <c r="HG53" i="184"/>
  <c r="HH53" i="184"/>
  <c r="HI53" i="184"/>
  <c r="HJ53" i="184"/>
  <c r="HK53" i="184"/>
  <c r="HL53" i="184"/>
  <c r="HM53" i="184"/>
  <c r="HN53" i="184"/>
  <c r="HO53" i="184"/>
  <c r="HP53" i="184"/>
  <c r="HQ53" i="184"/>
  <c r="HR53" i="184"/>
  <c r="HS53" i="184"/>
  <c r="HT53" i="184"/>
  <c r="HU53" i="184"/>
  <c r="HV53" i="184"/>
  <c r="HW53" i="184"/>
  <c r="HX53" i="184"/>
  <c r="HY53" i="184"/>
  <c r="HZ53" i="184"/>
  <c r="IA53" i="184"/>
  <c r="IB53" i="184"/>
  <c r="IC53" i="184"/>
  <c r="ID53" i="184"/>
  <c r="IE53" i="184"/>
  <c r="IF53" i="184"/>
  <c r="IG53" i="184"/>
  <c r="IH53" i="184"/>
  <c r="II53" i="184"/>
  <c r="IJ53" i="184"/>
  <c r="IK53" i="184"/>
  <c r="IL53" i="184"/>
  <c r="IM53" i="184"/>
  <c r="IN53" i="184"/>
  <c r="IO53" i="184"/>
  <c r="IP53" i="184"/>
  <c r="IQ53" i="184"/>
  <c r="IR53" i="184"/>
  <c r="IS53" i="184"/>
  <c r="IT53" i="184"/>
  <c r="IU53" i="184"/>
  <c r="IV53" i="184"/>
  <c r="A52" i="184"/>
  <c r="B52" i="184"/>
  <c r="C52" i="184"/>
  <c r="D52" i="184"/>
  <c r="E52" i="184"/>
  <c r="F52" i="184"/>
  <c r="G52" i="184"/>
  <c r="H52" i="184"/>
  <c r="I52" i="184"/>
  <c r="K52" i="184"/>
  <c r="L52" i="184"/>
  <c r="M52" i="184"/>
  <c r="N52" i="184"/>
  <c r="O52" i="184"/>
  <c r="P52" i="184"/>
  <c r="Q52" i="184"/>
  <c r="R52" i="184"/>
  <c r="S52" i="184"/>
  <c r="T52" i="184"/>
  <c r="U52" i="184"/>
  <c r="V52" i="184"/>
  <c r="W52" i="184"/>
  <c r="X52" i="184"/>
  <c r="Y52" i="184"/>
  <c r="Z52" i="184"/>
  <c r="AA52" i="184"/>
  <c r="AB52" i="184"/>
  <c r="AC52" i="184"/>
  <c r="AD52" i="184"/>
  <c r="AE52" i="184"/>
  <c r="AF52" i="184"/>
  <c r="AG52" i="184"/>
  <c r="AH52" i="184"/>
  <c r="AI52" i="184"/>
  <c r="AJ52" i="184"/>
  <c r="AK52" i="184"/>
  <c r="AL52" i="184"/>
  <c r="AM52" i="184"/>
  <c r="AN52" i="184"/>
  <c r="AO52" i="184"/>
  <c r="AP52" i="184"/>
  <c r="AQ52" i="184"/>
  <c r="AR52" i="184"/>
  <c r="AS52" i="184"/>
  <c r="AT52" i="184"/>
  <c r="AU52" i="184"/>
  <c r="AV52" i="184"/>
  <c r="AW52" i="184"/>
  <c r="AX52" i="184"/>
  <c r="AY52" i="184"/>
  <c r="AZ52" i="184"/>
  <c r="BA52" i="184"/>
  <c r="BB52" i="184"/>
  <c r="BC52" i="184"/>
  <c r="BD52" i="184"/>
  <c r="BE52" i="184"/>
  <c r="BF52" i="184"/>
  <c r="BG52" i="184"/>
  <c r="BH52" i="184"/>
  <c r="BI52" i="184"/>
  <c r="BJ52" i="184"/>
  <c r="BK52" i="184"/>
  <c r="BL52" i="184"/>
  <c r="BM52" i="184"/>
  <c r="BN52" i="184"/>
  <c r="BO52" i="184"/>
  <c r="BP52" i="184"/>
  <c r="BQ52" i="184"/>
  <c r="BR52" i="184"/>
  <c r="BS52" i="184"/>
  <c r="BT52" i="184"/>
  <c r="BU52" i="184"/>
  <c r="BV52" i="184"/>
  <c r="BW52" i="184"/>
  <c r="BX52" i="184"/>
  <c r="BY52" i="184"/>
  <c r="BZ52" i="184"/>
  <c r="CA52" i="184"/>
  <c r="CB52" i="184"/>
  <c r="CC52" i="184"/>
  <c r="CD52" i="184"/>
  <c r="CE52" i="184"/>
  <c r="CF52" i="184"/>
  <c r="CG52" i="184"/>
  <c r="CH52" i="184"/>
  <c r="CI52" i="184"/>
  <c r="CJ52" i="184"/>
  <c r="CK52" i="184"/>
  <c r="CL52" i="184"/>
  <c r="CM52" i="184"/>
  <c r="CN52" i="184"/>
  <c r="CO52" i="184"/>
  <c r="CP52" i="184"/>
  <c r="CQ52" i="184"/>
  <c r="CR52" i="184"/>
  <c r="CS52" i="184"/>
  <c r="CT52" i="184"/>
  <c r="CU52" i="184"/>
  <c r="CV52" i="184"/>
  <c r="CW52" i="184"/>
  <c r="CX52" i="184"/>
  <c r="CY52" i="184"/>
  <c r="CZ52" i="184"/>
  <c r="DA52" i="184"/>
  <c r="DB52" i="184"/>
  <c r="DC52" i="184"/>
  <c r="DD52" i="184"/>
  <c r="DE52" i="184"/>
  <c r="DF52" i="184"/>
  <c r="DG52" i="184"/>
  <c r="DH52" i="184"/>
  <c r="DI52" i="184"/>
  <c r="DJ52" i="184"/>
  <c r="DK52" i="184"/>
  <c r="DL52" i="184"/>
  <c r="DM52" i="184"/>
  <c r="DN52" i="184"/>
  <c r="DO52" i="184"/>
  <c r="DP52" i="184"/>
  <c r="DQ52" i="184"/>
  <c r="DR52" i="184"/>
  <c r="DS52" i="184"/>
  <c r="DT52" i="184"/>
  <c r="DU52" i="184"/>
  <c r="DV52" i="184"/>
  <c r="DW52" i="184"/>
  <c r="DX52" i="184"/>
  <c r="DY52" i="184"/>
  <c r="DZ52" i="184"/>
  <c r="EA52" i="184"/>
  <c r="EB52" i="184"/>
  <c r="EC52" i="184"/>
  <c r="ED52" i="184"/>
  <c r="EE52" i="184"/>
  <c r="EF52" i="184"/>
  <c r="EG52" i="184"/>
  <c r="EH52" i="184"/>
  <c r="EI52" i="184"/>
  <c r="EJ52" i="184"/>
  <c r="EK52" i="184"/>
  <c r="EL52" i="184"/>
  <c r="EM52" i="184"/>
  <c r="EN52" i="184"/>
  <c r="EO52" i="184"/>
  <c r="EP52" i="184"/>
  <c r="EQ52" i="184"/>
  <c r="ER52" i="184"/>
  <c r="ES52" i="184"/>
  <c r="ET52" i="184"/>
  <c r="EU52" i="184"/>
  <c r="EV52" i="184"/>
  <c r="EW52" i="184"/>
  <c r="EX52" i="184"/>
  <c r="EY52" i="184"/>
  <c r="EZ52" i="184"/>
  <c r="FA52" i="184"/>
  <c r="FB52" i="184"/>
  <c r="FC52" i="184"/>
  <c r="FD52" i="184"/>
  <c r="FE52" i="184"/>
  <c r="FF52" i="184"/>
  <c r="FG52" i="184"/>
  <c r="FH52" i="184"/>
  <c r="FI52" i="184"/>
  <c r="FJ52" i="184"/>
  <c r="FK52" i="184"/>
  <c r="FL52" i="184"/>
  <c r="FM52" i="184"/>
  <c r="FN52" i="184"/>
  <c r="FO52" i="184"/>
  <c r="FP52" i="184"/>
  <c r="FQ52" i="184"/>
  <c r="FR52" i="184"/>
  <c r="FS52" i="184"/>
  <c r="FT52" i="184"/>
  <c r="FU52" i="184"/>
  <c r="FV52" i="184"/>
  <c r="FW52" i="184"/>
  <c r="FX52" i="184"/>
  <c r="FY52" i="184"/>
  <c r="FZ52" i="184"/>
  <c r="GA52" i="184"/>
  <c r="GB52" i="184"/>
  <c r="GC52" i="184"/>
  <c r="GD52" i="184"/>
  <c r="GE52" i="184"/>
  <c r="GF52" i="184"/>
  <c r="GG52" i="184"/>
  <c r="GH52" i="184"/>
  <c r="GI52" i="184"/>
  <c r="GJ52" i="184"/>
  <c r="GK52" i="184"/>
  <c r="GL52" i="184"/>
  <c r="GM52" i="184"/>
  <c r="GN52" i="184"/>
  <c r="GO52" i="184"/>
  <c r="GP52" i="184"/>
  <c r="GQ52" i="184"/>
  <c r="GR52" i="184"/>
  <c r="GS52" i="184"/>
  <c r="GT52" i="184"/>
  <c r="GU52" i="184"/>
  <c r="GV52" i="184"/>
  <c r="GW52" i="184"/>
  <c r="GX52" i="184"/>
  <c r="GY52" i="184"/>
  <c r="GZ52" i="184"/>
  <c r="HA52" i="184"/>
  <c r="HB52" i="184"/>
  <c r="HC52" i="184"/>
  <c r="HD52" i="184"/>
  <c r="HE52" i="184"/>
  <c r="HF52" i="184"/>
  <c r="HG52" i="184"/>
  <c r="HH52" i="184"/>
  <c r="HI52" i="184"/>
  <c r="HJ52" i="184"/>
  <c r="HK52" i="184"/>
  <c r="HL52" i="184"/>
  <c r="HM52" i="184"/>
  <c r="HN52" i="184"/>
  <c r="HO52" i="184"/>
  <c r="HP52" i="184"/>
  <c r="HQ52" i="184"/>
  <c r="HR52" i="184"/>
  <c r="HS52" i="184"/>
  <c r="HT52" i="184"/>
  <c r="HU52" i="184"/>
  <c r="HV52" i="184"/>
  <c r="HW52" i="184"/>
  <c r="HX52" i="184"/>
  <c r="HY52" i="184"/>
  <c r="HZ52" i="184"/>
  <c r="IA52" i="184"/>
  <c r="IB52" i="184"/>
  <c r="IC52" i="184"/>
  <c r="ID52" i="184"/>
  <c r="IE52" i="184"/>
  <c r="IF52" i="184"/>
  <c r="IG52" i="184"/>
  <c r="IH52" i="184"/>
  <c r="II52" i="184"/>
  <c r="IJ52" i="184"/>
  <c r="IK52" i="184"/>
  <c r="IL52" i="184"/>
  <c r="IM52" i="184"/>
  <c r="IN52" i="184"/>
  <c r="IO52" i="184"/>
  <c r="IP52" i="184"/>
  <c r="IQ52" i="184"/>
  <c r="IR52" i="184"/>
  <c r="IS52" i="184"/>
  <c r="IT52" i="184"/>
  <c r="IU52" i="184"/>
  <c r="IV52" i="184"/>
  <c r="A51" i="184"/>
  <c r="B51" i="184"/>
  <c r="C51" i="184"/>
  <c r="D51" i="184"/>
  <c r="E51" i="184"/>
  <c r="F51" i="184"/>
  <c r="G51" i="184"/>
  <c r="H51" i="184"/>
  <c r="I51" i="184"/>
  <c r="J51" i="184"/>
  <c r="L51" i="184"/>
  <c r="M51" i="184"/>
  <c r="N51" i="184"/>
  <c r="O51" i="184"/>
  <c r="P51" i="184"/>
  <c r="Q51" i="184"/>
  <c r="R51" i="184"/>
  <c r="S51" i="184"/>
  <c r="T51" i="184"/>
  <c r="U51" i="184"/>
  <c r="V51" i="184"/>
  <c r="W51" i="184"/>
  <c r="X51" i="184"/>
  <c r="Y51" i="184"/>
  <c r="Z51" i="184"/>
  <c r="AA51" i="184"/>
  <c r="AB51" i="184"/>
  <c r="AC51" i="184"/>
  <c r="AD51" i="184"/>
  <c r="AE51" i="184"/>
  <c r="AF51" i="184"/>
  <c r="AG51" i="184"/>
  <c r="AH51" i="184"/>
  <c r="AI51" i="184"/>
  <c r="AJ51" i="184"/>
  <c r="AK51" i="184"/>
  <c r="AL51" i="184"/>
  <c r="AM51" i="184"/>
  <c r="AN51" i="184"/>
  <c r="AO51" i="184"/>
  <c r="AP51" i="184"/>
  <c r="AQ51" i="184"/>
  <c r="AR51" i="184"/>
  <c r="AS51" i="184"/>
  <c r="AT51" i="184"/>
  <c r="AU51" i="184"/>
  <c r="AV51" i="184"/>
  <c r="AW51" i="184"/>
  <c r="AX51" i="184"/>
  <c r="AY51" i="184"/>
  <c r="AZ51" i="184"/>
  <c r="BA51" i="184"/>
  <c r="BB51" i="184"/>
  <c r="BC51" i="184"/>
  <c r="BD51" i="184"/>
  <c r="BE51" i="184"/>
  <c r="BF51" i="184"/>
  <c r="BG51" i="184"/>
  <c r="BH51" i="184"/>
  <c r="BI51" i="184"/>
  <c r="BJ51" i="184"/>
  <c r="BK51" i="184"/>
  <c r="BL51" i="184"/>
  <c r="BM51" i="184"/>
  <c r="BN51" i="184"/>
  <c r="BO51" i="184"/>
  <c r="BP51" i="184"/>
  <c r="BQ51" i="184"/>
  <c r="BR51" i="184"/>
  <c r="BS51" i="184"/>
  <c r="BT51" i="184"/>
  <c r="BU51" i="184"/>
  <c r="BV51" i="184"/>
  <c r="BW51" i="184"/>
  <c r="BX51" i="184"/>
  <c r="BY51" i="184"/>
  <c r="BZ51" i="184"/>
  <c r="CA51" i="184"/>
  <c r="CB51" i="184"/>
  <c r="CC51" i="184"/>
  <c r="CD51" i="184"/>
  <c r="CE51" i="184"/>
  <c r="CF51" i="184"/>
  <c r="CG51" i="184"/>
  <c r="CH51" i="184"/>
  <c r="CI51" i="184"/>
  <c r="CJ51" i="184"/>
  <c r="CK51" i="184"/>
  <c r="CL51" i="184"/>
  <c r="CM51" i="184"/>
  <c r="CN51" i="184"/>
  <c r="CO51" i="184"/>
  <c r="CP51" i="184"/>
  <c r="CQ51" i="184"/>
  <c r="CR51" i="184"/>
  <c r="CS51" i="184"/>
  <c r="CT51" i="184"/>
  <c r="CU51" i="184"/>
  <c r="CV51" i="184"/>
  <c r="CW51" i="184"/>
  <c r="CX51" i="184"/>
  <c r="CY51" i="184"/>
  <c r="CZ51" i="184"/>
  <c r="DA51" i="184"/>
  <c r="DB51" i="184"/>
  <c r="DC51" i="184"/>
  <c r="DD51" i="184"/>
  <c r="DE51" i="184"/>
  <c r="DF51" i="184"/>
  <c r="DG51" i="184"/>
  <c r="DH51" i="184"/>
  <c r="DI51" i="184"/>
  <c r="DJ51" i="184"/>
  <c r="DK51" i="184"/>
  <c r="DL51" i="184"/>
  <c r="DM51" i="184"/>
  <c r="DN51" i="184"/>
  <c r="DO51" i="184"/>
  <c r="DP51" i="184"/>
  <c r="DQ51" i="184"/>
  <c r="DR51" i="184"/>
  <c r="DS51" i="184"/>
  <c r="DT51" i="184"/>
  <c r="DU51" i="184"/>
  <c r="DV51" i="184"/>
  <c r="DW51" i="184"/>
  <c r="DX51" i="184"/>
  <c r="DY51" i="184"/>
  <c r="DZ51" i="184"/>
  <c r="EA51" i="184"/>
  <c r="EB51" i="184"/>
  <c r="EC51" i="184"/>
  <c r="ED51" i="184"/>
  <c r="EE51" i="184"/>
  <c r="EF51" i="184"/>
  <c r="EG51" i="184"/>
  <c r="EH51" i="184"/>
  <c r="EI51" i="184"/>
  <c r="EJ51" i="184"/>
  <c r="EK51" i="184"/>
  <c r="EL51" i="184"/>
  <c r="EM51" i="184"/>
  <c r="EN51" i="184"/>
  <c r="EO51" i="184"/>
  <c r="EP51" i="184"/>
  <c r="EQ51" i="184"/>
  <c r="ER51" i="184"/>
  <c r="ES51" i="184"/>
  <c r="ET51" i="184"/>
  <c r="EU51" i="184"/>
  <c r="EV51" i="184"/>
  <c r="EW51" i="184"/>
  <c r="EX51" i="184"/>
  <c r="EY51" i="184"/>
  <c r="EZ51" i="184"/>
  <c r="FA51" i="184"/>
  <c r="FB51" i="184"/>
  <c r="FC51" i="184"/>
  <c r="FD51" i="184"/>
  <c r="FE51" i="184"/>
  <c r="FF51" i="184"/>
  <c r="FG51" i="184"/>
  <c r="FH51" i="184"/>
  <c r="FI51" i="184"/>
  <c r="FJ51" i="184"/>
  <c r="FK51" i="184"/>
  <c r="FL51" i="184"/>
  <c r="FM51" i="184"/>
  <c r="FN51" i="184"/>
  <c r="FO51" i="184"/>
  <c r="FP51" i="184"/>
  <c r="FQ51" i="184"/>
  <c r="FR51" i="184"/>
  <c r="FS51" i="184"/>
  <c r="FT51" i="184"/>
  <c r="FU51" i="184"/>
  <c r="FV51" i="184"/>
  <c r="FW51" i="184"/>
  <c r="FX51" i="184"/>
  <c r="FY51" i="184"/>
  <c r="FZ51" i="184"/>
  <c r="GA51" i="184"/>
  <c r="GB51" i="184"/>
  <c r="GC51" i="184"/>
  <c r="GD51" i="184"/>
  <c r="GE51" i="184"/>
  <c r="GF51" i="184"/>
  <c r="GG51" i="184"/>
  <c r="GH51" i="184"/>
  <c r="GI51" i="184"/>
  <c r="GJ51" i="184"/>
  <c r="GK51" i="184"/>
  <c r="GL51" i="184"/>
  <c r="GM51" i="184"/>
  <c r="GN51" i="184"/>
  <c r="GO51" i="184"/>
  <c r="GP51" i="184"/>
  <c r="GQ51" i="184"/>
  <c r="GR51" i="184"/>
  <c r="GS51" i="184"/>
  <c r="GT51" i="184"/>
  <c r="GU51" i="184"/>
  <c r="GV51" i="184"/>
  <c r="GW51" i="184"/>
  <c r="GX51" i="184"/>
  <c r="GY51" i="184"/>
  <c r="GZ51" i="184"/>
  <c r="HA51" i="184"/>
  <c r="HB51" i="184"/>
  <c r="HC51" i="184"/>
  <c r="HD51" i="184"/>
  <c r="HE51" i="184"/>
  <c r="HF51" i="184"/>
  <c r="HG51" i="184"/>
  <c r="HH51" i="184"/>
  <c r="HI51" i="184"/>
  <c r="HJ51" i="184"/>
  <c r="HK51" i="184"/>
  <c r="HL51" i="184"/>
  <c r="HM51" i="184"/>
  <c r="HN51" i="184"/>
  <c r="HO51" i="184"/>
  <c r="HP51" i="184"/>
  <c r="HQ51" i="184"/>
  <c r="HR51" i="184"/>
  <c r="HS51" i="184"/>
  <c r="HT51" i="184"/>
  <c r="HU51" i="184"/>
  <c r="HV51" i="184"/>
  <c r="HW51" i="184"/>
  <c r="HX51" i="184"/>
  <c r="HY51" i="184"/>
  <c r="HZ51" i="184"/>
  <c r="IA51" i="184"/>
  <c r="IB51" i="184"/>
  <c r="IC51" i="184"/>
  <c r="ID51" i="184"/>
  <c r="IE51" i="184"/>
  <c r="IF51" i="184"/>
  <c r="IG51" i="184"/>
  <c r="IH51" i="184"/>
  <c r="II51" i="184"/>
  <c r="IJ51" i="184"/>
  <c r="IK51" i="184"/>
  <c r="IL51" i="184"/>
  <c r="IM51" i="184"/>
  <c r="IN51" i="184"/>
  <c r="IO51" i="184"/>
  <c r="IP51" i="184"/>
  <c r="IQ51" i="184"/>
  <c r="IR51" i="184"/>
  <c r="IS51" i="184"/>
  <c r="IT51" i="184"/>
  <c r="IU51" i="184"/>
  <c r="IV51" i="184"/>
  <c r="A50" i="184"/>
  <c r="B50" i="184"/>
  <c r="C50" i="184"/>
  <c r="D50" i="184"/>
  <c r="E50" i="184"/>
  <c r="F50" i="184"/>
  <c r="G50" i="184"/>
  <c r="H50" i="184"/>
  <c r="I50" i="184"/>
  <c r="J50" i="184"/>
  <c r="K50" i="184"/>
  <c r="L50" i="184"/>
  <c r="M50" i="184"/>
  <c r="N50" i="184"/>
  <c r="O50" i="184"/>
  <c r="P50" i="184"/>
  <c r="Q50" i="184"/>
  <c r="R50" i="184"/>
  <c r="S50" i="184"/>
  <c r="T50" i="184"/>
  <c r="U50" i="184"/>
  <c r="V50" i="184"/>
  <c r="W50" i="184"/>
  <c r="X50" i="184"/>
  <c r="Y50" i="184"/>
  <c r="Z50" i="184"/>
  <c r="AA50" i="184"/>
  <c r="AB50" i="184"/>
  <c r="AC50" i="184"/>
  <c r="AD50" i="184"/>
  <c r="AE50" i="184"/>
  <c r="AF50" i="184"/>
  <c r="AG50" i="184"/>
  <c r="AH50" i="184"/>
  <c r="AI50" i="184"/>
  <c r="AJ50" i="184"/>
  <c r="AK50" i="184"/>
  <c r="AL50" i="184"/>
  <c r="AM50" i="184"/>
  <c r="AN50" i="184"/>
  <c r="AO50" i="184"/>
  <c r="AP50" i="184"/>
  <c r="AQ50" i="184"/>
  <c r="AR50" i="184"/>
  <c r="AS50" i="184"/>
  <c r="AT50" i="184"/>
  <c r="AU50" i="184"/>
  <c r="AV50" i="184"/>
  <c r="AW50" i="184"/>
  <c r="AX50" i="184"/>
  <c r="AY50" i="184"/>
  <c r="AZ50" i="184"/>
  <c r="BA50" i="184"/>
  <c r="BB50" i="184"/>
  <c r="BC50" i="184"/>
  <c r="BD50" i="184"/>
  <c r="BE50" i="184"/>
  <c r="BF50" i="184"/>
  <c r="BG50" i="184"/>
  <c r="BH50" i="184"/>
  <c r="BI50" i="184"/>
  <c r="BJ50" i="184"/>
  <c r="BK50" i="184"/>
  <c r="BL50" i="184"/>
  <c r="BM50" i="184"/>
  <c r="BN50" i="184"/>
  <c r="BO50" i="184"/>
  <c r="BP50" i="184"/>
  <c r="BQ50" i="184"/>
  <c r="BR50" i="184"/>
  <c r="BS50" i="184"/>
  <c r="BT50" i="184"/>
  <c r="BU50" i="184"/>
  <c r="BV50" i="184"/>
  <c r="BW50" i="184"/>
  <c r="BX50" i="184"/>
  <c r="BY50" i="184"/>
  <c r="BZ50" i="184"/>
  <c r="CA50" i="184"/>
  <c r="CB50" i="184"/>
  <c r="CC50" i="184"/>
  <c r="CD50" i="184"/>
  <c r="CE50" i="184"/>
  <c r="CF50" i="184"/>
  <c r="CG50" i="184"/>
  <c r="CH50" i="184"/>
  <c r="CI50" i="184"/>
  <c r="CJ50" i="184"/>
  <c r="CK50" i="184"/>
  <c r="CL50" i="184"/>
  <c r="CM50" i="184"/>
  <c r="CN50" i="184"/>
  <c r="CO50" i="184"/>
  <c r="CP50" i="184"/>
  <c r="CQ50" i="184"/>
  <c r="CR50" i="184"/>
  <c r="CS50" i="184"/>
  <c r="CT50" i="184"/>
  <c r="CU50" i="184"/>
  <c r="CV50" i="184"/>
  <c r="CW50" i="184"/>
  <c r="CX50" i="184"/>
  <c r="CY50" i="184"/>
  <c r="CZ50" i="184"/>
  <c r="DA50" i="184"/>
  <c r="DB50" i="184"/>
  <c r="DC50" i="184"/>
  <c r="DD50" i="184"/>
  <c r="DE50" i="184"/>
  <c r="DF50" i="184"/>
  <c r="DG50" i="184"/>
  <c r="DH50" i="184"/>
  <c r="DI50" i="184"/>
  <c r="DJ50" i="184"/>
  <c r="DK50" i="184"/>
  <c r="DL50" i="184"/>
  <c r="DM50" i="184"/>
  <c r="DN50" i="184"/>
  <c r="DO50" i="184"/>
  <c r="DP50" i="184"/>
  <c r="DQ50" i="184"/>
  <c r="DR50" i="184"/>
  <c r="DS50" i="184"/>
  <c r="DT50" i="184"/>
  <c r="DU50" i="184"/>
  <c r="DV50" i="184"/>
  <c r="DW50" i="184"/>
  <c r="DX50" i="184"/>
  <c r="DY50" i="184"/>
  <c r="DZ50" i="184"/>
  <c r="EA50" i="184"/>
  <c r="EB50" i="184"/>
  <c r="EC50" i="184"/>
  <c r="ED50" i="184"/>
  <c r="EE50" i="184"/>
  <c r="EF50" i="184"/>
  <c r="EG50" i="184"/>
  <c r="EH50" i="184"/>
  <c r="EI50" i="184"/>
  <c r="EJ50" i="184"/>
  <c r="EK50" i="184"/>
  <c r="EL50" i="184"/>
  <c r="EM50" i="184"/>
  <c r="EN50" i="184"/>
  <c r="EO50" i="184"/>
  <c r="EP50" i="184"/>
  <c r="EQ50" i="184"/>
  <c r="ER50" i="184"/>
  <c r="ES50" i="184"/>
  <c r="ET50" i="184"/>
  <c r="EU50" i="184"/>
  <c r="EV50" i="184"/>
  <c r="EW50" i="184"/>
  <c r="EX50" i="184"/>
  <c r="EY50" i="184"/>
  <c r="EZ50" i="184"/>
  <c r="FA50" i="184"/>
  <c r="FB50" i="184"/>
  <c r="FC50" i="184"/>
  <c r="FD50" i="184"/>
  <c r="FE50" i="184"/>
  <c r="FF50" i="184"/>
  <c r="FG50" i="184"/>
  <c r="FH50" i="184"/>
  <c r="FI50" i="184"/>
  <c r="FJ50" i="184"/>
  <c r="FK50" i="184"/>
  <c r="FL50" i="184"/>
  <c r="FM50" i="184"/>
  <c r="FN50" i="184"/>
  <c r="FO50" i="184"/>
  <c r="FP50" i="184"/>
  <c r="FQ50" i="184"/>
  <c r="FR50" i="184"/>
  <c r="FS50" i="184"/>
  <c r="FT50" i="184"/>
  <c r="FU50" i="184"/>
  <c r="FV50" i="184"/>
  <c r="FW50" i="184"/>
  <c r="FX50" i="184"/>
  <c r="FY50" i="184"/>
  <c r="FZ50" i="184"/>
  <c r="GA50" i="184"/>
  <c r="GB50" i="184"/>
  <c r="GC50" i="184"/>
  <c r="GD50" i="184"/>
  <c r="GE50" i="184"/>
  <c r="GF50" i="184"/>
  <c r="GG50" i="184"/>
  <c r="GH50" i="184"/>
  <c r="GI50" i="184"/>
  <c r="GJ50" i="184"/>
  <c r="GK50" i="184"/>
  <c r="GL50" i="184"/>
  <c r="GM50" i="184"/>
  <c r="GN50" i="184"/>
  <c r="GO50" i="184"/>
  <c r="GP50" i="184"/>
  <c r="GQ50" i="184"/>
  <c r="GR50" i="184"/>
  <c r="GS50" i="184"/>
  <c r="GT50" i="184"/>
  <c r="GV50" i="184"/>
  <c r="GX50" i="184"/>
  <c r="GZ50" i="184"/>
  <c r="HB50" i="184"/>
  <c r="HC50" i="184"/>
  <c r="HD50" i="184"/>
  <c r="HE50" i="184"/>
  <c r="HF50" i="184"/>
  <c r="HG50" i="184"/>
  <c r="HH50" i="184"/>
  <c r="HI50" i="184"/>
  <c r="HJ50" i="184"/>
  <c r="HK50" i="184"/>
  <c r="HL50" i="184"/>
  <c r="HM50" i="184"/>
  <c r="HN50" i="184"/>
  <c r="HO50" i="184"/>
  <c r="HP50" i="184"/>
  <c r="HQ50" i="184"/>
  <c r="HR50" i="184"/>
  <c r="HS50" i="184"/>
  <c r="HT50" i="184"/>
  <c r="HU50" i="184"/>
  <c r="HV50" i="184"/>
  <c r="HW50" i="184"/>
  <c r="HX50" i="184"/>
  <c r="HY50" i="184"/>
  <c r="HZ50" i="184"/>
  <c r="IA50" i="184"/>
  <c r="IB50" i="184"/>
  <c r="IC50" i="184"/>
  <c r="ID50" i="184"/>
  <c r="IE50" i="184"/>
  <c r="IF50" i="184"/>
  <c r="IG50" i="184"/>
  <c r="IH50" i="184"/>
  <c r="II50" i="184"/>
  <c r="IJ50" i="184"/>
  <c r="IK50" i="184"/>
  <c r="IL50" i="184"/>
  <c r="IM50" i="184"/>
  <c r="IN50" i="184"/>
  <c r="IO50" i="184"/>
  <c r="IP50" i="184"/>
  <c r="IQ50" i="184"/>
  <c r="IR50" i="184"/>
  <c r="IS50" i="184"/>
  <c r="IT50" i="184"/>
  <c r="IU50" i="184"/>
  <c r="IV50" i="184"/>
  <c r="A49" i="184"/>
  <c r="B49" i="184"/>
  <c r="C49" i="184"/>
  <c r="D49" i="184"/>
  <c r="E49" i="184"/>
  <c r="F49" i="184"/>
  <c r="G49" i="184"/>
  <c r="H49" i="184"/>
  <c r="I49" i="184"/>
  <c r="J49" i="184"/>
  <c r="K49" i="184"/>
  <c r="L49" i="184"/>
  <c r="M49" i="184"/>
  <c r="N49" i="184"/>
  <c r="O49" i="184"/>
  <c r="P49" i="184"/>
  <c r="Q49" i="184"/>
  <c r="R49" i="184"/>
  <c r="S49" i="184"/>
  <c r="T49" i="184"/>
  <c r="U49" i="184"/>
  <c r="V49" i="184"/>
  <c r="W49" i="184"/>
  <c r="X49" i="184"/>
  <c r="Y49" i="184"/>
  <c r="Z49" i="184"/>
  <c r="AA49" i="184"/>
  <c r="AB49" i="184"/>
  <c r="AC49" i="184"/>
  <c r="AD49" i="184"/>
  <c r="AE49" i="184"/>
  <c r="AF49" i="184"/>
  <c r="AG49" i="184"/>
  <c r="AH49" i="184"/>
  <c r="AI49" i="184"/>
  <c r="AJ49" i="184"/>
  <c r="AK49" i="184"/>
  <c r="AL49" i="184"/>
  <c r="AM49" i="184"/>
  <c r="AN49" i="184"/>
  <c r="AO49" i="184"/>
  <c r="AP49" i="184"/>
  <c r="AQ49" i="184"/>
  <c r="AR49" i="184"/>
  <c r="AS49" i="184"/>
  <c r="AT49" i="184"/>
  <c r="AU49" i="184"/>
  <c r="AV49" i="184"/>
  <c r="AW49" i="184"/>
  <c r="AX49" i="184"/>
  <c r="AY49" i="184"/>
  <c r="AZ49" i="184"/>
  <c r="BA49" i="184"/>
  <c r="BB49" i="184"/>
  <c r="BC49" i="184"/>
  <c r="BD49" i="184"/>
  <c r="BE49" i="184"/>
  <c r="BF49" i="184"/>
  <c r="BG49" i="184"/>
  <c r="BH49" i="184"/>
  <c r="BI49" i="184"/>
  <c r="BJ49" i="184"/>
  <c r="BK49" i="184"/>
  <c r="BL49" i="184"/>
  <c r="BM49" i="184"/>
  <c r="BN49" i="184"/>
  <c r="BO49" i="184"/>
  <c r="BP49" i="184"/>
  <c r="BQ49" i="184"/>
  <c r="BR49" i="184"/>
  <c r="BS49" i="184"/>
  <c r="BT49" i="184"/>
  <c r="BU49" i="184"/>
  <c r="BV49" i="184"/>
  <c r="BW49" i="184"/>
  <c r="BX49" i="184"/>
  <c r="BY49" i="184"/>
  <c r="BZ49" i="184"/>
  <c r="CA49" i="184"/>
  <c r="CB49" i="184"/>
  <c r="CC49" i="184"/>
  <c r="CD49" i="184"/>
  <c r="CE49" i="184"/>
  <c r="CF49" i="184"/>
  <c r="CQ49" i="184"/>
  <c r="CT49" i="184"/>
  <c r="CU49" i="184"/>
  <c r="CV49" i="184"/>
  <c r="CW49" i="184"/>
  <c r="CX49" i="184"/>
  <c r="CY49" i="184"/>
  <c r="CZ49" i="184"/>
  <c r="DA49" i="184"/>
  <c r="DB49" i="184"/>
  <c r="DC49" i="184"/>
  <c r="DD49" i="184"/>
  <c r="DE49" i="184"/>
  <c r="DF49" i="184"/>
  <c r="DG49" i="184"/>
  <c r="DH49" i="184"/>
  <c r="DI49" i="184"/>
  <c r="DJ49" i="184"/>
  <c r="DK49" i="184"/>
  <c r="DL49" i="184"/>
  <c r="DM49" i="184"/>
  <c r="DN49" i="184"/>
  <c r="DO49" i="184"/>
  <c r="DP49" i="184"/>
  <c r="DQ49" i="184"/>
  <c r="DR49" i="184"/>
  <c r="DS49" i="184"/>
  <c r="DT49" i="184"/>
  <c r="DU49" i="184"/>
  <c r="DV49" i="184"/>
  <c r="DW49" i="184"/>
  <c r="DX49" i="184"/>
  <c r="DY49" i="184"/>
  <c r="DZ49" i="184"/>
  <c r="EA49" i="184"/>
  <c r="EB49" i="184"/>
  <c r="EC49" i="184"/>
  <c r="ED49" i="184"/>
  <c r="EE49" i="184"/>
  <c r="EF49" i="184"/>
  <c r="EG49" i="184"/>
  <c r="EH49" i="184"/>
  <c r="EI49" i="184"/>
  <c r="EJ49" i="184"/>
  <c r="EK49" i="184"/>
  <c r="EL49" i="184"/>
  <c r="EM49" i="184"/>
  <c r="EN49" i="184"/>
  <c r="EO49" i="184"/>
  <c r="EP49" i="184"/>
  <c r="EQ49" i="184"/>
  <c r="ER49" i="184"/>
  <c r="ES49" i="184"/>
  <c r="ET49" i="184"/>
  <c r="EU49" i="184"/>
  <c r="EV49" i="184"/>
  <c r="EW49" i="184"/>
  <c r="EX49" i="184"/>
  <c r="EY49" i="184"/>
  <c r="EZ49" i="184"/>
  <c r="FA49" i="184"/>
  <c r="FB49" i="184"/>
  <c r="FC49" i="184"/>
  <c r="FD49" i="184"/>
  <c r="FE49" i="184"/>
  <c r="FF49" i="184"/>
  <c r="FG49" i="184"/>
  <c r="FH49" i="184"/>
  <c r="FI49" i="184"/>
  <c r="FJ49" i="184"/>
  <c r="FK49" i="184"/>
  <c r="FL49" i="184"/>
  <c r="FM49" i="184"/>
  <c r="FN49" i="184"/>
  <c r="FO49" i="184"/>
  <c r="FP49" i="184"/>
  <c r="FQ49" i="184"/>
  <c r="FR49" i="184"/>
  <c r="FS49" i="184"/>
  <c r="FT49" i="184"/>
  <c r="FU49" i="184"/>
  <c r="FV49" i="184"/>
  <c r="FW49" i="184"/>
  <c r="FX49" i="184"/>
  <c r="FY49" i="184"/>
  <c r="FZ49" i="184"/>
  <c r="GA49" i="184"/>
  <c r="GB49" i="184"/>
  <c r="GC49" i="184"/>
  <c r="GD49" i="184"/>
  <c r="GE49" i="184"/>
  <c r="GF49" i="184"/>
  <c r="GG49" i="184"/>
  <c r="GH49" i="184"/>
  <c r="GI49" i="184"/>
  <c r="GJ49" i="184"/>
  <c r="GK49" i="184"/>
  <c r="GL49" i="184"/>
  <c r="GM49" i="184"/>
  <c r="GN49" i="184"/>
  <c r="GO49" i="184"/>
  <c r="GP49" i="184"/>
  <c r="GQ49" i="184"/>
  <c r="GR49" i="184"/>
  <c r="GS49" i="184"/>
  <c r="GT49" i="184"/>
  <c r="GU49" i="184"/>
  <c r="GV49" i="184"/>
  <c r="GW49" i="184"/>
  <c r="GX49" i="184"/>
  <c r="GY49" i="184"/>
  <c r="GZ49" i="184"/>
  <c r="HA49" i="184"/>
  <c r="HB49" i="184"/>
  <c r="HC49" i="184"/>
  <c r="HD49" i="184"/>
  <c r="HE49" i="184"/>
  <c r="HF49" i="184"/>
  <c r="HG49" i="184"/>
  <c r="HH49" i="184"/>
  <c r="HI49" i="184"/>
  <c r="HJ49" i="184"/>
  <c r="HK49" i="184"/>
  <c r="HL49" i="184"/>
  <c r="HM49" i="184"/>
  <c r="HN49" i="184"/>
  <c r="HO49" i="184"/>
  <c r="HP49" i="184"/>
  <c r="HQ49" i="184"/>
  <c r="HR49" i="184"/>
  <c r="HS49" i="184"/>
  <c r="HT49" i="184"/>
  <c r="HU49" i="184"/>
  <c r="HV49" i="184"/>
  <c r="HW49" i="184"/>
  <c r="HX49" i="184"/>
  <c r="HY49" i="184"/>
  <c r="HZ49" i="184"/>
  <c r="IA49" i="184"/>
  <c r="IB49" i="184"/>
  <c r="IC49" i="184"/>
  <c r="ID49" i="184"/>
  <c r="IE49" i="184"/>
  <c r="IF49" i="184"/>
  <c r="IG49" i="184"/>
  <c r="IH49" i="184"/>
  <c r="II49" i="184"/>
  <c r="IJ49" i="184"/>
  <c r="IK49" i="184"/>
  <c r="IL49" i="184"/>
  <c r="IM49" i="184"/>
  <c r="IN49" i="184"/>
  <c r="IO49" i="184"/>
  <c r="IP49" i="184"/>
  <c r="IQ49" i="184"/>
  <c r="IR49" i="184"/>
  <c r="IS49" i="184"/>
  <c r="IT49" i="184"/>
  <c r="IU49" i="184"/>
  <c r="IV49" i="184"/>
  <c r="A48" i="184"/>
  <c r="B48" i="184"/>
  <c r="C48" i="184"/>
  <c r="D48" i="184"/>
  <c r="E48" i="184"/>
  <c r="F48" i="184"/>
  <c r="H48" i="184"/>
  <c r="I48" i="184"/>
  <c r="J48" i="184"/>
  <c r="K48" i="184"/>
  <c r="L48" i="184"/>
  <c r="M48" i="184"/>
  <c r="N48" i="184"/>
  <c r="O48" i="184"/>
  <c r="P48" i="184"/>
  <c r="Q48" i="184"/>
  <c r="R48" i="184"/>
  <c r="S48" i="184"/>
  <c r="T48" i="184"/>
  <c r="U48" i="184"/>
  <c r="V48" i="184"/>
  <c r="W48" i="184"/>
  <c r="X48" i="184"/>
  <c r="Y48" i="184"/>
  <c r="Z48" i="184"/>
  <c r="AA48" i="184"/>
  <c r="AB48" i="184"/>
  <c r="AC48" i="184"/>
  <c r="AD48" i="184"/>
  <c r="AE48" i="184"/>
  <c r="AF48" i="184"/>
  <c r="AG48" i="184"/>
  <c r="AH48" i="184"/>
  <c r="AI48" i="184"/>
  <c r="AJ48" i="184"/>
  <c r="AK48" i="184"/>
  <c r="AL48" i="184"/>
  <c r="AM48" i="184"/>
  <c r="AN48" i="184"/>
  <c r="AO48" i="184"/>
  <c r="AP48" i="184"/>
  <c r="AQ48" i="184"/>
  <c r="AR48" i="184"/>
  <c r="AS48" i="184"/>
  <c r="AT48" i="184"/>
  <c r="AU48" i="184"/>
  <c r="AV48" i="184"/>
  <c r="AW48" i="184"/>
  <c r="AX48" i="184"/>
  <c r="AY48" i="184"/>
  <c r="AZ48" i="184"/>
  <c r="BA48" i="184"/>
  <c r="BB48" i="184"/>
  <c r="BC48" i="184"/>
  <c r="BD48" i="184"/>
  <c r="BE48" i="184"/>
  <c r="BF48" i="184"/>
  <c r="BG48" i="184"/>
  <c r="BH48" i="184"/>
  <c r="BI48" i="184"/>
  <c r="BJ48" i="184"/>
  <c r="BK48" i="184"/>
  <c r="BL48" i="184"/>
  <c r="BM48" i="184"/>
  <c r="BN48" i="184"/>
  <c r="BO48" i="184"/>
  <c r="BP48" i="184"/>
  <c r="BQ48" i="184"/>
  <c r="BR48" i="184"/>
  <c r="BS48" i="184"/>
  <c r="BT48" i="184"/>
  <c r="BU48" i="184"/>
  <c r="BV48" i="184"/>
  <c r="BW48" i="184"/>
  <c r="BX48" i="184"/>
  <c r="BY48" i="184"/>
  <c r="BZ48" i="184"/>
  <c r="CA48" i="184"/>
  <c r="CB48" i="184"/>
  <c r="CC48" i="184"/>
  <c r="CD48" i="184"/>
  <c r="CE48" i="184"/>
  <c r="CF48" i="184"/>
  <c r="CG48" i="184"/>
  <c r="CH48" i="184"/>
  <c r="CI48" i="184"/>
  <c r="CJ48" i="184"/>
  <c r="CK48" i="184"/>
  <c r="CL48" i="184"/>
  <c r="CM48" i="184"/>
  <c r="CN48" i="184"/>
  <c r="CO48" i="184"/>
  <c r="CP48" i="184"/>
  <c r="CQ48" i="184"/>
  <c r="CR48" i="184"/>
  <c r="CS48" i="184"/>
  <c r="CT48" i="184"/>
  <c r="CU48" i="184"/>
  <c r="CV48" i="184"/>
  <c r="CW48" i="184"/>
  <c r="CX48" i="184"/>
  <c r="CY48" i="184"/>
  <c r="CZ48" i="184"/>
  <c r="DA48" i="184"/>
  <c r="DB48" i="184"/>
  <c r="DC48" i="184"/>
  <c r="DD48" i="184"/>
  <c r="DE48" i="184"/>
  <c r="DF48" i="184"/>
  <c r="DG48" i="184"/>
  <c r="DH48" i="184"/>
  <c r="DI48" i="184"/>
  <c r="DJ48" i="184"/>
  <c r="DK48" i="184"/>
  <c r="DL48" i="184"/>
  <c r="DM48" i="184"/>
  <c r="DN48" i="184"/>
  <c r="DO48" i="184"/>
  <c r="DP48" i="184"/>
  <c r="DQ48" i="184"/>
  <c r="DR48" i="184"/>
  <c r="DS48" i="184"/>
  <c r="DT48" i="184"/>
  <c r="DU48" i="184"/>
  <c r="DV48" i="184"/>
  <c r="DW48" i="184"/>
  <c r="DX48" i="184"/>
  <c r="DY48" i="184"/>
  <c r="DZ48" i="184"/>
  <c r="EA48" i="184"/>
  <c r="EB48" i="184"/>
  <c r="EC48" i="184"/>
  <c r="ED48" i="184"/>
  <c r="EE48" i="184"/>
  <c r="EF48" i="184"/>
  <c r="EG48" i="184"/>
  <c r="EH48" i="184"/>
  <c r="EI48" i="184"/>
  <c r="EJ48" i="184"/>
  <c r="EK48" i="184"/>
  <c r="EL48" i="184"/>
  <c r="EM48" i="184"/>
  <c r="EN48" i="184"/>
  <c r="EO48" i="184"/>
  <c r="EP48" i="184"/>
  <c r="EQ48" i="184"/>
  <c r="ER48" i="184"/>
  <c r="ES48" i="184"/>
  <c r="ET48" i="184"/>
  <c r="EU48" i="184"/>
  <c r="EV48" i="184"/>
  <c r="EW48" i="184"/>
  <c r="EX48" i="184"/>
  <c r="EY48" i="184"/>
  <c r="EZ48" i="184"/>
  <c r="FA48" i="184"/>
  <c r="FB48" i="184"/>
  <c r="FC48" i="184"/>
  <c r="FD48" i="184"/>
  <c r="FE48" i="184"/>
  <c r="FF48" i="184"/>
  <c r="FG48" i="184"/>
  <c r="FH48" i="184"/>
  <c r="FI48" i="184"/>
  <c r="FJ48" i="184"/>
  <c r="FK48" i="184"/>
  <c r="FL48" i="184"/>
  <c r="FM48" i="184"/>
  <c r="FN48" i="184"/>
  <c r="FO48" i="184"/>
  <c r="FP48" i="184"/>
  <c r="FQ48" i="184"/>
  <c r="FR48" i="184"/>
  <c r="FS48" i="184"/>
  <c r="FT48" i="184"/>
  <c r="FU48" i="184"/>
  <c r="FV48" i="184"/>
  <c r="FW48" i="184"/>
  <c r="FX48" i="184"/>
  <c r="FY48" i="184"/>
  <c r="FZ48" i="184"/>
  <c r="GA48" i="184"/>
  <c r="GB48" i="184"/>
  <c r="GC48" i="184"/>
  <c r="GD48" i="184"/>
  <c r="GE48" i="184"/>
  <c r="GF48" i="184"/>
  <c r="GG48" i="184"/>
  <c r="GH48" i="184"/>
  <c r="GI48" i="184"/>
  <c r="GJ48" i="184"/>
  <c r="GK48" i="184"/>
  <c r="GL48" i="184"/>
  <c r="GM48" i="184"/>
  <c r="GN48" i="184"/>
  <c r="GO48" i="184"/>
  <c r="GP48" i="184"/>
  <c r="GQ48" i="184"/>
  <c r="GR48" i="184"/>
  <c r="GS48" i="184"/>
  <c r="GT48" i="184"/>
  <c r="GU48" i="184"/>
  <c r="GV48" i="184"/>
  <c r="GW48" i="184"/>
  <c r="GX48" i="184"/>
  <c r="GY48" i="184"/>
  <c r="GZ48" i="184"/>
  <c r="HA48" i="184"/>
  <c r="HB48" i="184"/>
  <c r="HC48" i="184"/>
  <c r="HD48" i="184"/>
  <c r="HE48" i="184"/>
  <c r="HF48" i="184"/>
  <c r="HG48" i="184"/>
  <c r="HH48" i="184"/>
  <c r="HI48" i="184"/>
  <c r="HJ48" i="184"/>
  <c r="HK48" i="184"/>
  <c r="HL48" i="184"/>
  <c r="HM48" i="184"/>
  <c r="HN48" i="184"/>
  <c r="HO48" i="184"/>
  <c r="HP48" i="184"/>
  <c r="HQ48" i="184"/>
  <c r="HR48" i="184"/>
  <c r="HS48" i="184"/>
  <c r="HT48" i="184"/>
  <c r="HU48" i="184"/>
  <c r="HV48" i="184"/>
  <c r="HW48" i="184"/>
  <c r="HX48" i="184"/>
  <c r="HY48" i="184"/>
  <c r="HZ48" i="184"/>
  <c r="IA48" i="184"/>
  <c r="IB48" i="184"/>
  <c r="IC48" i="184"/>
  <c r="ID48" i="184"/>
  <c r="IE48" i="184"/>
  <c r="IF48" i="184"/>
  <c r="IG48" i="184"/>
  <c r="IH48" i="184"/>
  <c r="II48" i="184"/>
  <c r="IJ48" i="184"/>
  <c r="IK48" i="184"/>
  <c r="IL48" i="184"/>
  <c r="IM48" i="184"/>
  <c r="IN48" i="184"/>
  <c r="IO48" i="184"/>
  <c r="IP48" i="184"/>
  <c r="IQ48" i="184"/>
  <c r="IR48" i="184"/>
  <c r="IS48" i="184"/>
  <c r="IT48" i="184"/>
  <c r="IU48" i="184"/>
  <c r="IV48" i="184"/>
  <c r="A47" i="184"/>
  <c r="B47" i="184"/>
  <c r="C47" i="184"/>
  <c r="D47" i="184"/>
  <c r="E47" i="184"/>
  <c r="F47" i="184"/>
  <c r="G47" i="184"/>
  <c r="I47" i="184"/>
  <c r="J47" i="184"/>
  <c r="K47" i="184"/>
  <c r="L47" i="184"/>
  <c r="M47" i="184"/>
  <c r="N47" i="184"/>
  <c r="O47" i="184"/>
  <c r="P47" i="184"/>
  <c r="Q47" i="184"/>
  <c r="R47" i="184"/>
  <c r="S47" i="184"/>
  <c r="T47" i="184"/>
  <c r="U47" i="184"/>
  <c r="V47" i="184"/>
  <c r="W47" i="184"/>
  <c r="X47" i="184"/>
  <c r="Y47" i="184"/>
  <c r="Z47" i="184"/>
  <c r="AA47" i="184"/>
  <c r="AB47" i="184"/>
  <c r="AC47" i="184"/>
  <c r="AD47" i="184"/>
  <c r="AE47" i="184"/>
  <c r="AF47" i="184"/>
  <c r="AG47" i="184"/>
  <c r="AH47" i="184"/>
  <c r="AI47" i="184"/>
  <c r="AJ47" i="184"/>
  <c r="AK47" i="184"/>
  <c r="AL47" i="184"/>
  <c r="AM47" i="184"/>
  <c r="AN47" i="184"/>
  <c r="AO47" i="184"/>
  <c r="AP47" i="184"/>
  <c r="AQ47" i="184"/>
  <c r="AR47" i="184"/>
  <c r="AS47" i="184"/>
  <c r="AT47" i="184"/>
  <c r="AU47" i="184"/>
  <c r="AV47" i="184"/>
  <c r="AW47" i="184"/>
  <c r="AX47" i="184"/>
  <c r="AY47" i="184"/>
  <c r="AZ47" i="184"/>
  <c r="BA47" i="184"/>
  <c r="BB47" i="184"/>
  <c r="BC47" i="184"/>
  <c r="BD47" i="184"/>
  <c r="BE47" i="184"/>
  <c r="BF47" i="184"/>
  <c r="BG47" i="184"/>
  <c r="BH47" i="184"/>
  <c r="BI47" i="184"/>
  <c r="BJ47" i="184"/>
  <c r="BK47" i="184"/>
  <c r="BL47" i="184"/>
  <c r="BM47" i="184"/>
  <c r="BN47" i="184"/>
  <c r="BO47" i="184"/>
  <c r="BP47" i="184"/>
  <c r="BQ47" i="184"/>
  <c r="BR47" i="184"/>
  <c r="BS47" i="184"/>
  <c r="BT47" i="184"/>
  <c r="BU47" i="184"/>
  <c r="BV47" i="184"/>
  <c r="BW47" i="184"/>
  <c r="BX47" i="184"/>
  <c r="BY47" i="184"/>
  <c r="BZ47" i="184"/>
  <c r="CA47" i="184"/>
  <c r="CB47" i="184"/>
  <c r="CC47" i="184"/>
  <c r="CD47" i="184"/>
  <c r="CE47" i="184"/>
  <c r="CF47" i="184"/>
  <c r="CG47" i="184"/>
  <c r="CH47" i="184"/>
  <c r="CI47" i="184"/>
  <c r="CJ47" i="184"/>
  <c r="CK47" i="184"/>
  <c r="CL47" i="184"/>
  <c r="CM47" i="184"/>
  <c r="CN47" i="184"/>
  <c r="CO47" i="184"/>
  <c r="CP47" i="184"/>
  <c r="CQ47" i="184"/>
  <c r="CR47" i="184"/>
  <c r="CS47" i="184"/>
  <c r="CT47" i="184"/>
  <c r="CU47" i="184"/>
  <c r="CV47" i="184"/>
  <c r="CW47" i="184"/>
  <c r="CX47" i="184"/>
  <c r="CY47" i="184"/>
  <c r="CZ47" i="184"/>
  <c r="DA47" i="184"/>
  <c r="DB47" i="184"/>
  <c r="DC47" i="184"/>
  <c r="DD47" i="184"/>
  <c r="DE47" i="184"/>
  <c r="DF47" i="184"/>
  <c r="DG47" i="184"/>
  <c r="DH47" i="184"/>
  <c r="DI47" i="184"/>
  <c r="DJ47" i="184"/>
  <c r="DK47" i="184"/>
  <c r="DL47" i="184"/>
  <c r="DM47" i="184"/>
  <c r="DN47" i="184"/>
  <c r="DO47" i="184"/>
  <c r="DP47" i="184"/>
  <c r="DQ47" i="184"/>
  <c r="DR47" i="184"/>
  <c r="DS47" i="184"/>
  <c r="DT47" i="184"/>
  <c r="DU47" i="184"/>
  <c r="DV47" i="184"/>
  <c r="DW47" i="184"/>
  <c r="DX47" i="184"/>
  <c r="DY47" i="184"/>
  <c r="DZ47" i="184"/>
  <c r="EA47" i="184"/>
  <c r="EB47" i="184"/>
  <c r="EC47" i="184"/>
  <c r="ED47" i="184"/>
  <c r="EE47" i="184"/>
  <c r="EF47" i="184"/>
  <c r="EG47" i="184"/>
  <c r="EH47" i="184"/>
  <c r="EI47" i="184"/>
  <c r="EJ47" i="184"/>
  <c r="EK47" i="184"/>
  <c r="EL47" i="184"/>
  <c r="EM47" i="184"/>
  <c r="EN47" i="184"/>
  <c r="EO47" i="184"/>
  <c r="EP47" i="184"/>
  <c r="EQ47" i="184"/>
  <c r="ER47" i="184"/>
  <c r="ES47" i="184"/>
  <c r="ET47" i="184"/>
  <c r="EU47" i="184"/>
  <c r="EV47" i="184"/>
  <c r="EW47" i="184"/>
  <c r="EX47" i="184"/>
  <c r="EY47" i="184"/>
  <c r="EZ47" i="184"/>
  <c r="FA47" i="184"/>
  <c r="FB47" i="184"/>
  <c r="FC47" i="184"/>
  <c r="FD47" i="184"/>
  <c r="FE47" i="184"/>
  <c r="FF47" i="184"/>
  <c r="FG47" i="184"/>
  <c r="FH47" i="184"/>
  <c r="FI47" i="184"/>
  <c r="FJ47" i="184"/>
  <c r="FK47" i="184"/>
  <c r="FL47" i="184"/>
  <c r="FM47" i="184"/>
  <c r="FN47" i="184"/>
  <c r="FO47" i="184"/>
  <c r="FP47" i="184"/>
  <c r="FQ47" i="184"/>
  <c r="FR47" i="184"/>
  <c r="FS47" i="184"/>
  <c r="FT47" i="184"/>
  <c r="FU47" i="184"/>
  <c r="FV47" i="184"/>
  <c r="FW47" i="184"/>
  <c r="FX47" i="184"/>
  <c r="FY47" i="184"/>
  <c r="FZ47" i="184"/>
  <c r="GA47" i="184"/>
  <c r="GB47" i="184"/>
  <c r="GC47" i="184"/>
  <c r="GD47" i="184"/>
  <c r="GE47" i="184"/>
  <c r="GF47" i="184"/>
  <c r="GG47" i="184"/>
  <c r="GH47" i="184"/>
  <c r="GI47" i="184"/>
  <c r="GJ47" i="184"/>
  <c r="GK47" i="184"/>
  <c r="GL47" i="184"/>
  <c r="GM47" i="184"/>
  <c r="GN47" i="184"/>
  <c r="GO47" i="184"/>
  <c r="GP47" i="184"/>
  <c r="GQ47" i="184"/>
  <c r="GR47" i="184"/>
  <c r="GS47" i="184"/>
  <c r="GT47" i="184"/>
  <c r="GU47" i="184"/>
  <c r="GV47" i="184"/>
  <c r="GW47" i="184"/>
  <c r="GX47" i="184"/>
  <c r="GY47" i="184"/>
  <c r="GZ47" i="184"/>
  <c r="HA47" i="184"/>
  <c r="HB47" i="184"/>
  <c r="HC47" i="184"/>
  <c r="HD47" i="184"/>
  <c r="HE47" i="184"/>
  <c r="HF47" i="184"/>
  <c r="HG47" i="184"/>
  <c r="HH47" i="184"/>
  <c r="HI47" i="184"/>
  <c r="HJ47" i="184"/>
  <c r="HK47" i="184"/>
  <c r="HL47" i="184"/>
  <c r="HM47" i="184"/>
  <c r="HN47" i="184"/>
  <c r="HO47" i="184"/>
  <c r="HP47" i="184"/>
  <c r="HQ47" i="184"/>
  <c r="HR47" i="184"/>
  <c r="HS47" i="184"/>
  <c r="HT47" i="184"/>
  <c r="HU47" i="184"/>
  <c r="HV47" i="184"/>
  <c r="HW47" i="184"/>
  <c r="HX47" i="184"/>
  <c r="HY47" i="184"/>
  <c r="HZ47" i="184"/>
  <c r="IA47" i="184"/>
  <c r="IB47" i="184"/>
  <c r="IC47" i="184"/>
  <c r="ID47" i="184"/>
  <c r="IE47" i="184"/>
  <c r="IF47" i="184"/>
  <c r="IG47" i="184"/>
  <c r="IH47" i="184"/>
  <c r="II47" i="184"/>
  <c r="IJ47" i="184"/>
  <c r="IK47" i="184"/>
  <c r="IL47" i="184"/>
  <c r="IM47" i="184"/>
  <c r="IN47" i="184"/>
  <c r="IO47" i="184"/>
  <c r="IP47" i="184"/>
  <c r="IQ47" i="184"/>
  <c r="IR47" i="184"/>
  <c r="IS47" i="184"/>
  <c r="IT47" i="184"/>
  <c r="IU47" i="184"/>
  <c r="IV47" i="184"/>
  <c r="A46" i="184"/>
  <c r="B46" i="184"/>
  <c r="C46" i="184"/>
  <c r="D46" i="184"/>
  <c r="E46" i="184"/>
  <c r="F46" i="184"/>
  <c r="G46" i="184"/>
  <c r="H46" i="184"/>
  <c r="J46" i="184"/>
  <c r="K46" i="184"/>
  <c r="L46" i="184"/>
  <c r="M46" i="184"/>
  <c r="N46" i="184"/>
  <c r="O46" i="184"/>
  <c r="P46" i="184"/>
  <c r="Q46" i="184"/>
  <c r="R46" i="184"/>
  <c r="S46" i="184"/>
  <c r="T46" i="184"/>
  <c r="U46" i="184"/>
  <c r="V46" i="184"/>
  <c r="W46" i="184"/>
  <c r="X46" i="184"/>
  <c r="Y46" i="184"/>
  <c r="Z46" i="184"/>
  <c r="AA46" i="184"/>
  <c r="AB46" i="184"/>
  <c r="AC46" i="184"/>
  <c r="AD46" i="184"/>
  <c r="AE46" i="184"/>
  <c r="AF46" i="184"/>
  <c r="AG46" i="184"/>
  <c r="AH46" i="184"/>
  <c r="AI46" i="184"/>
  <c r="AJ46" i="184"/>
  <c r="AK46" i="184"/>
  <c r="AL46" i="184"/>
  <c r="AM46" i="184"/>
  <c r="AN46" i="184"/>
  <c r="AO46" i="184"/>
  <c r="AP46" i="184"/>
  <c r="AQ46" i="184"/>
  <c r="AR46" i="184"/>
  <c r="AS46" i="184"/>
  <c r="AT46" i="184"/>
  <c r="AU46" i="184"/>
  <c r="AV46" i="184"/>
  <c r="AW46" i="184"/>
  <c r="AX46" i="184"/>
  <c r="AY46" i="184"/>
  <c r="AZ46" i="184"/>
  <c r="BA46" i="184"/>
  <c r="BB46" i="184"/>
  <c r="BC46" i="184"/>
  <c r="BD46" i="184"/>
  <c r="BE46" i="184"/>
  <c r="BF46" i="184"/>
  <c r="BG46" i="184"/>
  <c r="BH46" i="184"/>
  <c r="BI46" i="184"/>
  <c r="BJ46" i="184"/>
  <c r="BK46" i="184"/>
  <c r="BL46" i="184"/>
  <c r="BM46" i="184"/>
  <c r="BN46" i="184"/>
  <c r="BO46" i="184"/>
  <c r="BP46" i="184"/>
  <c r="BQ46" i="184"/>
  <c r="BR46" i="184"/>
  <c r="BS46" i="184"/>
  <c r="BT46" i="184"/>
  <c r="BU46" i="184"/>
  <c r="BV46" i="184"/>
  <c r="BW46" i="184"/>
  <c r="BX46" i="184"/>
  <c r="BY46" i="184"/>
  <c r="BZ46" i="184"/>
  <c r="CA46" i="184"/>
  <c r="CB46" i="184"/>
  <c r="CC46" i="184"/>
  <c r="CD46" i="184"/>
  <c r="CE46" i="184"/>
  <c r="CF46" i="184"/>
  <c r="CG46" i="184"/>
  <c r="CH46" i="184"/>
  <c r="CI46" i="184"/>
  <c r="CJ46" i="184"/>
  <c r="CK46" i="184"/>
  <c r="CL46" i="184"/>
  <c r="CM46" i="184"/>
  <c r="CN46" i="184"/>
  <c r="CO46" i="184"/>
  <c r="CP46" i="184"/>
  <c r="CQ46" i="184"/>
  <c r="CR46" i="184"/>
  <c r="CS46" i="184"/>
  <c r="CU46" i="184"/>
  <c r="CW46" i="184"/>
  <c r="CY46" i="184"/>
  <c r="DA46" i="184"/>
  <c r="DC46" i="184"/>
  <c r="DD46" i="184"/>
  <c r="DE46" i="184"/>
  <c r="DF46" i="184"/>
  <c r="DG46" i="184"/>
  <c r="DH46" i="184"/>
  <c r="DI46" i="184"/>
  <c r="DJ46" i="184"/>
  <c r="DK46" i="184"/>
  <c r="DL46" i="184"/>
  <c r="DM46" i="184"/>
  <c r="DN46" i="184"/>
  <c r="DO46" i="184"/>
  <c r="DP46" i="184"/>
  <c r="DQ46" i="184"/>
  <c r="DR46" i="184"/>
  <c r="DS46" i="184"/>
  <c r="DT46" i="184"/>
  <c r="DU46" i="184"/>
  <c r="DV46" i="184"/>
  <c r="DW46" i="184"/>
  <c r="DX46" i="184"/>
  <c r="DY46" i="184"/>
  <c r="DZ46" i="184"/>
  <c r="EA46" i="184"/>
  <c r="EB46" i="184"/>
  <c r="EC46" i="184"/>
  <c r="ED46" i="184"/>
  <c r="EE46" i="184"/>
  <c r="EF46" i="184"/>
  <c r="EG46" i="184"/>
  <c r="EH46" i="184"/>
  <c r="EI46" i="184"/>
  <c r="EJ46" i="184"/>
  <c r="EK46" i="184"/>
  <c r="EL46" i="184"/>
  <c r="EM46" i="184"/>
  <c r="EN46" i="184"/>
  <c r="EO46" i="184"/>
  <c r="EP46" i="184"/>
  <c r="EQ46" i="184"/>
  <c r="ER46" i="184"/>
  <c r="ES46" i="184"/>
  <c r="ET46" i="184"/>
  <c r="EU46" i="184"/>
  <c r="EV46" i="184"/>
  <c r="EW46" i="184"/>
  <c r="EX46" i="184"/>
  <c r="EY46" i="184"/>
  <c r="EZ46" i="184"/>
  <c r="FA46" i="184"/>
  <c r="FB46" i="184"/>
  <c r="FC46" i="184"/>
  <c r="FD46" i="184"/>
  <c r="FE46" i="184"/>
  <c r="FF46" i="184"/>
  <c r="FG46" i="184"/>
  <c r="FH46" i="184"/>
  <c r="FI46" i="184"/>
  <c r="FJ46" i="184"/>
  <c r="FK46" i="184"/>
  <c r="FL46" i="184"/>
  <c r="FM46" i="184"/>
  <c r="FN46" i="184"/>
  <c r="FO46" i="184"/>
  <c r="FP46" i="184"/>
  <c r="FQ46" i="184"/>
  <c r="FR46" i="184"/>
  <c r="FS46" i="184"/>
  <c r="FT46" i="184"/>
  <c r="FU46" i="184"/>
  <c r="FV46" i="184"/>
  <c r="FW46" i="184"/>
  <c r="FX46" i="184"/>
  <c r="FY46" i="184"/>
  <c r="FZ46" i="184"/>
  <c r="GA46" i="184"/>
  <c r="GB46" i="184"/>
  <c r="GC46" i="184"/>
  <c r="GD46" i="184"/>
  <c r="GE46" i="184"/>
  <c r="GF46" i="184"/>
  <c r="GG46" i="184"/>
  <c r="GH46" i="184"/>
  <c r="GI46" i="184"/>
  <c r="GJ46" i="184"/>
  <c r="GK46" i="184"/>
  <c r="GL46" i="184"/>
  <c r="GM46" i="184"/>
  <c r="GN46" i="184"/>
  <c r="GO46" i="184"/>
  <c r="GP46" i="184"/>
  <c r="GQ46" i="184"/>
  <c r="GR46" i="184"/>
  <c r="GS46" i="184"/>
  <c r="GT46" i="184"/>
  <c r="GU46" i="184"/>
  <c r="GV46" i="184"/>
  <c r="GW46" i="184"/>
  <c r="GX46" i="184"/>
  <c r="GY46" i="184"/>
  <c r="GZ46" i="184"/>
  <c r="HA46" i="184"/>
  <c r="HB46" i="184"/>
  <c r="HC46" i="184"/>
  <c r="HD46" i="184"/>
  <c r="HE46" i="184"/>
  <c r="HF46" i="184"/>
  <c r="HG46" i="184"/>
  <c r="HH46" i="184"/>
  <c r="HI46" i="184"/>
  <c r="HJ46" i="184"/>
  <c r="HK46" i="184"/>
  <c r="HL46" i="184"/>
  <c r="HM46" i="184"/>
  <c r="HN46" i="184"/>
  <c r="HO46" i="184"/>
  <c r="HP46" i="184"/>
  <c r="HQ46" i="184"/>
  <c r="HR46" i="184"/>
  <c r="HS46" i="184"/>
  <c r="HT46" i="184"/>
  <c r="HU46" i="184"/>
  <c r="HV46" i="184"/>
  <c r="HW46" i="184"/>
  <c r="HX46" i="184"/>
  <c r="HY46" i="184"/>
  <c r="HZ46" i="184"/>
  <c r="IA46" i="184"/>
  <c r="IB46" i="184"/>
  <c r="IC46" i="184"/>
  <c r="ID46" i="184"/>
  <c r="IE46" i="184"/>
  <c r="IF46" i="184"/>
  <c r="IG46" i="184"/>
  <c r="IH46" i="184"/>
  <c r="II46" i="184"/>
  <c r="IJ46" i="184"/>
  <c r="IK46" i="184"/>
  <c r="IL46" i="184"/>
  <c r="IM46" i="184"/>
  <c r="IN46" i="184"/>
  <c r="IO46" i="184"/>
  <c r="IP46" i="184"/>
  <c r="IQ46" i="184"/>
  <c r="IR46" i="184"/>
  <c r="IS46" i="184"/>
  <c r="IT46" i="184"/>
  <c r="IU46" i="184"/>
  <c r="IV46" i="184"/>
  <c r="A45" i="184"/>
  <c r="B45" i="184"/>
  <c r="C45" i="184"/>
  <c r="D45" i="184"/>
  <c r="E45" i="184"/>
  <c r="F45" i="184"/>
  <c r="G45" i="184"/>
  <c r="H45" i="184"/>
  <c r="I45" i="184"/>
  <c r="J45" i="184"/>
  <c r="K45" i="184"/>
  <c r="L45" i="184"/>
  <c r="M45" i="184"/>
  <c r="N45" i="184"/>
  <c r="O45" i="184"/>
  <c r="P45" i="184"/>
  <c r="Q45" i="184"/>
  <c r="R45" i="184"/>
  <c r="S45" i="184"/>
  <c r="T45" i="184"/>
  <c r="U45" i="184"/>
  <c r="V45" i="184"/>
  <c r="W45" i="184"/>
  <c r="X45" i="184"/>
  <c r="Y45" i="184"/>
  <c r="Z45" i="184"/>
  <c r="AA45" i="184"/>
  <c r="AB45" i="184"/>
  <c r="AC45" i="184"/>
  <c r="AD45" i="184"/>
  <c r="AE45" i="184"/>
  <c r="AF45" i="184"/>
  <c r="AG45" i="184"/>
  <c r="AH45" i="184"/>
  <c r="AI45" i="184"/>
  <c r="AJ45" i="184"/>
  <c r="AK45" i="184"/>
  <c r="AL45" i="184"/>
  <c r="AM45" i="184"/>
  <c r="AN45" i="184"/>
  <c r="AO45" i="184"/>
  <c r="AP45" i="184"/>
  <c r="AQ45" i="184"/>
  <c r="AR45" i="184"/>
  <c r="AS45" i="184"/>
  <c r="AT45" i="184"/>
  <c r="AU45" i="184"/>
  <c r="AV45" i="184"/>
  <c r="AW45" i="184"/>
  <c r="AX45" i="184"/>
  <c r="AY45" i="184"/>
  <c r="AZ45" i="184"/>
  <c r="BA45" i="184"/>
  <c r="BB45" i="184"/>
  <c r="BC45" i="184"/>
  <c r="BD45" i="184"/>
  <c r="BE45" i="184"/>
  <c r="BF45" i="184"/>
  <c r="BG45" i="184"/>
  <c r="BH45" i="184"/>
  <c r="BI45" i="184"/>
  <c r="BJ45" i="184"/>
  <c r="BK45" i="184"/>
  <c r="BL45" i="184"/>
  <c r="BM45" i="184"/>
  <c r="BN45" i="184"/>
  <c r="BO45" i="184"/>
  <c r="BP45" i="184"/>
  <c r="BQ45" i="184"/>
  <c r="BR45" i="184"/>
  <c r="BS45" i="184"/>
  <c r="BT45" i="184"/>
  <c r="BU45" i="184"/>
  <c r="BV45" i="184"/>
  <c r="BW45" i="184"/>
  <c r="BX45" i="184"/>
  <c r="BY45" i="184"/>
  <c r="BZ45" i="184"/>
  <c r="CA45" i="184"/>
  <c r="CB45" i="184"/>
  <c r="CC45" i="184"/>
  <c r="CD45" i="184"/>
  <c r="CE45" i="184"/>
  <c r="CF45" i="184"/>
  <c r="CG45" i="184"/>
  <c r="CH45" i="184"/>
  <c r="CI45" i="184"/>
  <c r="CJ45" i="184"/>
  <c r="CK45" i="184"/>
  <c r="CL45" i="184"/>
  <c r="CM45" i="184"/>
  <c r="CN45" i="184"/>
  <c r="CO45" i="184"/>
  <c r="CP45" i="184"/>
  <c r="CQ45" i="184"/>
  <c r="CR45" i="184"/>
  <c r="CS45" i="184"/>
  <c r="CT45" i="184"/>
  <c r="CU45" i="184"/>
  <c r="CV45" i="184"/>
  <c r="CW45" i="184"/>
  <c r="CX45" i="184"/>
  <c r="CY45" i="184"/>
  <c r="CZ45" i="184"/>
  <c r="DA45" i="184"/>
  <c r="DB45" i="184"/>
  <c r="DC45" i="184"/>
  <c r="DE45" i="184"/>
  <c r="DF45" i="184"/>
  <c r="DG45" i="184"/>
  <c r="DH45" i="184"/>
  <c r="DI45" i="184"/>
  <c r="DJ45" i="184"/>
  <c r="DK45" i="184"/>
  <c r="DL45" i="184"/>
  <c r="DM45" i="184"/>
  <c r="DN45" i="184"/>
  <c r="DO45" i="184"/>
  <c r="DP45" i="184"/>
  <c r="DQ45" i="184"/>
  <c r="DR45" i="184"/>
  <c r="DS45" i="184"/>
  <c r="DT45" i="184"/>
  <c r="DU45" i="184"/>
  <c r="DV45" i="184"/>
  <c r="DW45" i="184"/>
  <c r="DX45" i="184"/>
  <c r="DY45" i="184"/>
  <c r="DZ45" i="184"/>
  <c r="EA45" i="184"/>
  <c r="EB45" i="184"/>
  <c r="EC45" i="184"/>
  <c r="ED45" i="184"/>
  <c r="EE45" i="184"/>
  <c r="EF45" i="184"/>
  <c r="EG45" i="184"/>
  <c r="EH45" i="184"/>
  <c r="EI45" i="184"/>
  <c r="EJ45" i="184"/>
  <c r="EK45" i="184"/>
  <c r="EL45" i="184"/>
  <c r="EM45" i="184"/>
  <c r="EN45" i="184"/>
  <c r="EO45" i="184"/>
  <c r="EP45" i="184"/>
  <c r="EQ45" i="184"/>
  <c r="ER45" i="184"/>
  <c r="ES45" i="184"/>
  <c r="ET45" i="184"/>
  <c r="EU45" i="184"/>
  <c r="EV45" i="184"/>
  <c r="EW45" i="184"/>
  <c r="EX45" i="184"/>
  <c r="EY45" i="184"/>
  <c r="EZ45" i="184"/>
  <c r="FA45" i="184"/>
  <c r="FB45" i="184"/>
  <c r="FC45" i="184"/>
  <c r="FD45" i="184"/>
  <c r="FE45" i="184"/>
  <c r="FF45" i="184"/>
  <c r="FG45" i="184"/>
  <c r="FH45" i="184"/>
  <c r="FI45" i="184"/>
  <c r="FJ45" i="184"/>
  <c r="FK45" i="184"/>
  <c r="FL45" i="184"/>
  <c r="FM45" i="184"/>
  <c r="FN45" i="184"/>
  <c r="FO45" i="184"/>
  <c r="FP45" i="184"/>
  <c r="FQ45" i="184"/>
  <c r="FR45" i="184"/>
  <c r="FS45" i="184"/>
  <c r="FT45" i="184"/>
  <c r="FU45" i="184"/>
  <c r="FV45" i="184"/>
  <c r="FW45" i="184"/>
  <c r="FX45" i="184"/>
  <c r="FY45" i="184"/>
  <c r="FZ45" i="184"/>
  <c r="GA45" i="184"/>
  <c r="GB45" i="184"/>
  <c r="GC45" i="184"/>
  <c r="GD45" i="184"/>
  <c r="GE45" i="184"/>
  <c r="GF45" i="184"/>
  <c r="GG45" i="184"/>
  <c r="GH45" i="184"/>
  <c r="GI45" i="184"/>
  <c r="GJ45" i="184"/>
  <c r="GK45" i="184"/>
  <c r="GL45" i="184"/>
  <c r="GM45" i="184"/>
  <c r="GN45" i="184"/>
  <c r="GO45" i="184"/>
  <c r="GP45" i="184"/>
  <c r="GQ45" i="184"/>
  <c r="GR45" i="184"/>
  <c r="GS45" i="184"/>
  <c r="GT45" i="184"/>
  <c r="GU45" i="184"/>
  <c r="GV45" i="184"/>
  <c r="GW45" i="184"/>
  <c r="GX45" i="184"/>
  <c r="GY45" i="184"/>
  <c r="GZ45" i="184"/>
  <c r="HA45" i="184"/>
  <c r="HB45" i="184"/>
  <c r="HC45" i="184"/>
  <c r="HD45" i="184"/>
  <c r="HE45" i="184"/>
  <c r="HF45" i="184"/>
  <c r="HG45" i="184"/>
  <c r="HH45" i="184"/>
  <c r="HI45" i="184"/>
  <c r="HJ45" i="184"/>
  <c r="HK45" i="184"/>
  <c r="HL45" i="184"/>
  <c r="HM45" i="184"/>
  <c r="HN45" i="184"/>
  <c r="HO45" i="184"/>
  <c r="HP45" i="184"/>
  <c r="HQ45" i="184"/>
  <c r="HR45" i="184"/>
  <c r="HS45" i="184"/>
  <c r="HT45" i="184"/>
  <c r="HU45" i="184"/>
  <c r="HV45" i="184"/>
  <c r="HW45" i="184"/>
  <c r="HX45" i="184"/>
  <c r="HY45" i="184"/>
  <c r="HZ45" i="184"/>
  <c r="IA45" i="184"/>
  <c r="IB45" i="184"/>
  <c r="IC45" i="184"/>
  <c r="ID45" i="184"/>
  <c r="IE45" i="184"/>
  <c r="IF45" i="184"/>
  <c r="IG45" i="184"/>
  <c r="IH45" i="184"/>
  <c r="II45" i="184"/>
  <c r="IJ45" i="184"/>
  <c r="IK45" i="184"/>
  <c r="IL45" i="184"/>
  <c r="IM45" i="184"/>
  <c r="IN45" i="184"/>
  <c r="IO45" i="184"/>
  <c r="IP45" i="184"/>
  <c r="IQ45" i="184"/>
  <c r="IR45" i="184"/>
  <c r="IS45" i="184"/>
  <c r="IT45" i="184"/>
  <c r="IU45" i="184"/>
  <c r="IV45" i="184"/>
  <c r="A44" i="184"/>
  <c r="B44" i="184"/>
  <c r="C44" i="184"/>
  <c r="D44" i="184"/>
  <c r="E44" i="184"/>
  <c r="F44" i="184"/>
  <c r="G44" i="184"/>
  <c r="H44" i="184"/>
  <c r="I44" i="184"/>
  <c r="J44" i="184"/>
  <c r="K44" i="184"/>
  <c r="L44" i="184"/>
  <c r="M44" i="184"/>
  <c r="N44" i="184"/>
  <c r="O44" i="184"/>
  <c r="P44" i="184"/>
  <c r="Q44" i="184"/>
  <c r="R44" i="184"/>
  <c r="S44" i="184"/>
  <c r="T44" i="184"/>
  <c r="U44" i="184"/>
  <c r="V44" i="184"/>
  <c r="W44" i="184"/>
  <c r="X44" i="184"/>
  <c r="Y44" i="184"/>
  <c r="Z44" i="184"/>
  <c r="AA44" i="184"/>
  <c r="AB44" i="184"/>
  <c r="AC44" i="184"/>
  <c r="AD44" i="184"/>
  <c r="AE44" i="184"/>
  <c r="AF44" i="184"/>
  <c r="AG44" i="184"/>
  <c r="AH44" i="184"/>
  <c r="AI44" i="184"/>
  <c r="AJ44" i="184"/>
  <c r="AK44" i="184"/>
  <c r="AL44" i="184"/>
  <c r="AM44" i="184"/>
  <c r="AN44" i="184"/>
  <c r="AO44" i="184"/>
  <c r="AP44" i="184"/>
  <c r="AQ44" i="184"/>
  <c r="AR44" i="184"/>
  <c r="AS44" i="184"/>
  <c r="AT44" i="184"/>
  <c r="AU44" i="184"/>
  <c r="AV44" i="184"/>
  <c r="AW44" i="184"/>
  <c r="AX44" i="184"/>
  <c r="AY44" i="184"/>
  <c r="AZ44" i="184"/>
  <c r="BA44" i="184"/>
  <c r="BB44" i="184"/>
  <c r="BC44" i="184"/>
  <c r="BD44" i="184"/>
  <c r="BE44" i="184"/>
  <c r="BF44" i="184"/>
  <c r="BG44" i="184"/>
  <c r="BH44" i="184"/>
  <c r="BI44" i="184"/>
  <c r="BJ44" i="184"/>
  <c r="BK44" i="184"/>
  <c r="BL44" i="184"/>
  <c r="BM44" i="184"/>
  <c r="BN44" i="184"/>
  <c r="BO44" i="184"/>
  <c r="BP44" i="184"/>
  <c r="BQ44" i="184"/>
  <c r="BR44" i="184"/>
  <c r="BS44" i="184"/>
  <c r="BT44" i="184"/>
  <c r="BU44" i="184"/>
  <c r="BV44" i="184"/>
  <c r="BW44" i="184"/>
  <c r="BX44" i="184"/>
  <c r="BY44" i="184"/>
  <c r="BZ44" i="184"/>
  <c r="CA44" i="184"/>
  <c r="CB44" i="184"/>
  <c r="CC44" i="184"/>
  <c r="CD44" i="184"/>
  <c r="CE44" i="184"/>
  <c r="CF44" i="184"/>
  <c r="CG44" i="184"/>
  <c r="CH44" i="184"/>
  <c r="CI44" i="184"/>
  <c r="CJ44" i="184"/>
  <c r="CK44" i="184"/>
  <c r="CL44" i="184"/>
  <c r="CM44" i="184"/>
  <c r="CN44" i="184"/>
  <c r="CO44" i="184"/>
  <c r="CP44" i="184"/>
  <c r="CQ44" i="184"/>
  <c r="CR44" i="184"/>
  <c r="CS44" i="184"/>
  <c r="CT44" i="184"/>
  <c r="CU44" i="184"/>
  <c r="CV44" i="184"/>
  <c r="CW44" i="184"/>
  <c r="CX44" i="184"/>
  <c r="CY44" i="184"/>
  <c r="CZ44" i="184"/>
  <c r="DA44" i="184"/>
  <c r="DB44" i="184"/>
  <c r="DC44" i="184"/>
  <c r="DD44" i="184"/>
  <c r="DE44" i="184"/>
  <c r="DF44" i="184"/>
  <c r="DG44" i="184"/>
  <c r="DH44" i="184"/>
  <c r="DI44" i="184"/>
  <c r="DJ44" i="184"/>
  <c r="DK44" i="184"/>
  <c r="DL44" i="184"/>
  <c r="DM44" i="184"/>
  <c r="DN44" i="184"/>
  <c r="DO44" i="184"/>
  <c r="DP44" i="184"/>
  <c r="DQ44" i="184"/>
  <c r="DR44" i="184"/>
  <c r="DS44" i="184"/>
  <c r="DT44" i="184"/>
  <c r="DU44" i="184"/>
  <c r="DV44" i="184"/>
  <c r="DW44" i="184"/>
  <c r="DX44" i="184"/>
  <c r="DY44" i="184"/>
  <c r="DZ44" i="184"/>
  <c r="EA44" i="184"/>
  <c r="EB44" i="184"/>
  <c r="EC44" i="184"/>
  <c r="ED44" i="184"/>
  <c r="EE44" i="184"/>
  <c r="EF44" i="184"/>
  <c r="EG44" i="184"/>
  <c r="EH44" i="184"/>
  <c r="EI44" i="184"/>
  <c r="EJ44" i="184"/>
  <c r="EK44" i="184"/>
  <c r="EL44" i="184"/>
  <c r="EM44" i="184"/>
  <c r="EN44" i="184"/>
  <c r="EO44" i="184"/>
  <c r="EP44" i="184"/>
  <c r="EQ44" i="184"/>
  <c r="ER44" i="184"/>
  <c r="ES44" i="184"/>
  <c r="ET44" i="184"/>
  <c r="EU44" i="184"/>
  <c r="EV44" i="184"/>
  <c r="EW44" i="184"/>
  <c r="EX44" i="184"/>
  <c r="EY44" i="184"/>
  <c r="EZ44" i="184"/>
  <c r="FA44" i="184"/>
  <c r="FB44" i="184"/>
  <c r="FC44" i="184"/>
  <c r="FD44" i="184"/>
  <c r="FE44" i="184"/>
  <c r="FF44" i="184"/>
  <c r="FG44" i="184"/>
  <c r="FH44" i="184"/>
  <c r="FI44" i="184"/>
  <c r="FJ44" i="184"/>
  <c r="FK44" i="184"/>
  <c r="FL44" i="184"/>
  <c r="FM44" i="184"/>
  <c r="FN44" i="184"/>
  <c r="FO44" i="184"/>
  <c r="FP44" i="184"/>
  <c r="FQ44" i="184"/>
  <c r="FR44" i="184"/>
  <c r="FS44" i="184"/>
  <c r="FT44" i="184"/>
  <c r="FU44" i="184"/>
  <c r="FV44" i="184"/>
  <c r="FW44" i="184"/>
  <c r="FX44" i="184"/>
  <c r="FY44" i="184"/>
  <c r="FZ44" i="184"/>
  <c r="GA44" i="184"/>
  <c r="GB44" i="184"/>
  <c r="GC44" i="184"/>
  <c r="GD44" i="184"/>
  <c r="GE44" i="184"/>
  <c r="GF44" i="184"/>
  <c r="GG44" i="184"/>
  <c r="GH44" i="184"/>
  <c r="GI44" i="184"/>
  <c r="GJ44" i="184"/>
  <c r="GK44" i="184"/>
  <c r="GL44" i="184"/>
  <c r="GM44" i="184"/>
  <c r="GN44" i="184"/>
  <c r="GO44" i="184"/>
  <c r="GP44" i="184"/>
  <c r="GQ44" i="184"/>
  <c r="GR44" i="184"/>
  <c r="GS44" i="184"/>
  <c r="GT44" i="184"/>
  <c r="GU44" i="184"/>
  <c r="GV44" i="184"/>
  <c r="GW44" i="184"/>
  <c r="GX44" i="184"/>
  <c r="GY44" i="184"/>
  <c r="GZ44" i="184"/>
  <c r="HA44" i="184"/>
  <c r="HB44" i="184"/>
  <c r="HC44" i="184"/>
  <c r="HD44" i="184"/>
  <c r="HE44" i="184"/>
  <c r="HF44" i="184"/>
  <c r="HG44" i="184"/>
  <c r="HH44" i="184"/>
  <c r="HI44" i="184"/>
  <c r="HJ44" i="184"/>
  <c r="HK44" i="184"/>
  <c r="HL44" i="184"/>
  <c r="HM44" i="184"/>
  <c r="HN44" i="184"/>
  <c r="HO44" i="184"/>
  <c r="HP44" i="184"/>
  <c r="HQ44" i="184"/>
  <c r="HR44" i="184"/>
  <c r="HS44" i="184"/>
  <c r="HT44" i="184"/>
  <c r="HU44" i="184"/>
  <c r="HV44" i="184"/>
  <c r="HW44" i="184"/>
  <c r="IL44" i="184"/>
  <c r="IO44" i="184"/>
  <c r="IP44" i="184"/>
  <c r="IQ44" i="184"/>
  <c r="IR44" i="184"/>
  <c r="IS44" i="184"/>
  <c r="IT44" i="184"/>
  <c r="IU44" i="184"/>
  <c r="IV44" i="184"/>
  <c r="A43" i="184"/>
  <c r="B43" i="184"/>
  <c r="C43" i="184"/>
  <c r="D43" i="184"/>
  <c r="E43" i="184"/>
  <c r="F43" i="184"/>
  <c r="G43" i="184"/>
  <c r="H43" i="184"/>
  <c r="I43" i="184"/>
  <c r="J43" i="184"/>
  <c r="K43" i="184"/>
  <c r="L43" i="184"/>
  <c r="M43" i="184"/>
  <c r="N43" i="184"/>
  <c r="O43" i="184"/>
  <c r="P43" i="184"/>
  <c r="Q43" i="184"/>
  <c r="R43" i="184"/>
  <c r="S43" i="184"/>
  <c r="T43" i="184"/>
  <c r="U43" i="184"/>
  <c r="V43" i="184"/>
  <c r="X43" i="184"/>
  <c r="Y43" i="184"/>
  <c r="Z43" i="184"/>
  <c r="AA43" i="184"/>
  <c r="AB43" i="184"/>
  <c r="AC43" i="184"/>
  <c r="AD43" i="184"/>
  <c r="AE43" i="184"/>
  <c r="AF43" i="184"/>
  <c r="AG43" i="184"/>
  <c r="AH43" i="184"/>
  <c r="AI43" i="184"/>
  <c r="AJ43" i="184"/>
  <c r="AK43" i="184"/>
  <c r="AL43" i="184"/>
  <c r="AM43" i="184"/>
  <c r="AN43" i="184"/>
  <c r="AO43" i="184"/>
  <c r="AP43" i="184"/>
  <c r="AQ43" i="184"/>
  <c r="AR43" i="184"/>
  <c r="AS43" i="184"/>
  <c r="AT43" i="184"/>
  <c r="AU43" i="184"/>
  <c r="AV43" i="184"/>
  <c r="AW43" i="184"/>
  <c r="AX43" i="184"/>
  <c r="AY43" i="184"/>
  <c r="AZ43" i="184"/>
  <c r="BA43" i="184"/>
  <c r="BB43" i="184"/>
  <c r="BC43" i="184"/>
  <c r="BD43" i="184"/>
  <c r="BE43" i="184"/>
  <c r="BF43" i="184"/>
  <c r="BG43" i="184"/>
  <c r="BH43" i="184"/>
  <c r="BI43" i="184"/>
  <c r="BJ43" i="184"/>
  <c r="BK43" i="184"/>
  <c r="BL43" i="184"/>
  <c r="BM43" i="184"/>
  <c r="BN43" i="184"/>
  <c r="BO43" i="184"/>
  <c r="BP43" i="184"/>
  <c r="BQ43" i="184"/>
  <c r="BR43" i="184"/>
  <c r="BS43" i="184"/>
  <c r="BT43" i="184"/>
  <c r="BU43" i="184"/>
  <c r="BV43" i="184"/>
  <c r="BW43" i="184"/>
  <c r="BX43" i="184"/>
  <c r="BY43" i="184"/>
  <c r="BZ43" i="184"/>
  <c r="CA43" i="184"/>
  <c r="CB43" i="184"/>
  <c r="CC43" i="184"/>
  <c r="CD43" i="184"/>
  <c r="CE43" i="184"/>
  <c r="CF43" i="184"/>
  <c r="CG43" i="184"/>
  <c r="CH43" i="184"/>
  <c r="CI43" i="184"/>
  <c r="CJ43" i="184"/>
  <c r="CK43" i="184"/>
  <c r="CL43" i="184"/>
  <c r="CM43" i="184"/>
  <c r="CN43" i="184"/>
  <c r="CO43" i="184"/>
  <c r="CP43" i="184"/>
  <c r="CQ43" i="184"/>
  <c r="CR43" i="184"/>
  <c r="CS43" i="184"/>
  <c r="CT43" i="184"/>
  <c r="CU43" i="184"/>
  <c r="CV43" i="184"/>
  <c r="CW43" i="184"/>
  <c r="CX43" i="184"/>
  <c r="CY43" i="184"/>
  <c r="CZ43" i="184"/>
  <c r="DA43" i="184"/>
  <c r="DB43" i="184"/>
  <c r="DC43" i="184"/>
  <c r="DD43" i="184"/>
  <c r="DE43" i="184"/>
  <c r="DF43" i="184"/>
  <c r="DG43" i="184"/>
  <c r="DH43" i="184"/>
  <c r="DI43" i="184"/>
  <c r="DJ43" i="184"/>
  <c r="DK43" i="184"/>
  <c r="DL43" i="184"/>
  <c r="DM43" i="184"/>
  <c r="DN43" i="184"/>
  <c r="DO43" i="184"/>
  <c r="DP43" i="184"/>
  <c r="DQ43" i="184"/>
  <c r="DR43" i="184"/>
  <c r="DS43" i="184"/>
  <c r="DT43" i="184"/>
  <c r="DU43" i="184"/>
  <c r="DV43" i="184"/>
  <c r="DW43" i="184"/>
  <c r="DX43" i="184"/>
  <c r="DY43" i="184"/>
  <c r="DZ43" i="184"/>
  <c r="EA43" i="184"/>
  <c r="EB43" i="184"/>
  <c r="EC43" i="184"/>
  <c r="ED43" i="184"/>
  <c r="EE43" i="184"/>
  <c r="EF43" i="184"/>
  <c r="EG43" i="184"/>
  <c r="EH43" i="184"/>
  <c r="EI43" i="184"/>
  <c r="EJ43" i="184"/>
  <c r="EK43" i="184"/>
  <c r="EL43" i="184"/>
  <c r="EM43" i="184"/>
  <c r="EN43" i="184"/>
  <c r="EO43" i="184"/>
  <c r="EP43" i="184"/>
  <c r="EQ43" i="184"/>
  <c r="ER43" i="184"/>
  <c r="ES43" i="184"/>
  <c r="ET43" i="184"/>
  <c r="EU43" i="184"/>
  <c r="EV43" i="184"/>
  <c r="EW43" i="184"/>
  <c r="EX43" i="184"/>
  <c r="EY43" i="184"/>
  <c r="EZ43" i="184"/>
  <c r="FA43" i="184"/>
  <c r="FB43" i="184"/>
  <c r="FC43" i="184"/>
  <c r="FD43" i="184"/>
  <c r="FE43" i="184"/>
  <c r="FF43" i="184"/>
  <c r="FG43" i="184"/>
  <c r="FH43" i="184"/>
  <c r="FI43" i="184"/>
  <c r="FJ43" i="184"/>
  <c r="FK43" i="184"/>
  <c r="FL43" i="184"/>
  <c r="FM43" i="184"/>
  <c r="FN43" i="184"/>
  <c r="FO43" i="184"/>
  <c r="FP43" i="184"/>
  <c r="FQ43" i="184"/>
  <c r="FR43" i="184"/>
  <c r="FS43" i="184"/>
  <c r="FT43" i="184"/>
  <c r="FU43" i="184"/>
  <c r="FV43" i="184"/>
  <c r="FW43" i="184"/>
  <c r="FX43" i="184"/>
  <c r="FY43" i="184"/>
  <c r="FZ43" i="184"/>
  <c r="GA43" i="184"/>
  <c r="GB43" i="184"/>
  <c r="GC43" i="184"/>
  <c r="GD43" i="184"/>
  <c r="GE43" i="184"/>
  <c r="GF43" i="184"/>
  <c r="GG43" i="184"/>
  <c r="GH43" i="184"/>
  <c r="GI43" i="184"/>
  <c r="GJ43" i="184"/>
  <c r="GK43" i="184"/>
  <c r="GL43" i="184"/>
  <c r="GM43" i="184"/>
  <c r="GN43" i="184"/>
  <c r="GO43" i="184"/>
  <c r="GP43" i="184"/>
  <c r="GQ43" i="184"/>
  <c r="GR43" i="184"/>
  <c r="GS43" i="184"/>
  <c r="GT43" i="184"/>
  <c r="GU43" i="184"/>
  <c r="GV43" i="184"/>
  <c r="GW43" i="184"/>
  <c r="GX43" i="184"/>
  <c r="GY43" i="184"/>
  <c r="GZ43" i="184"/>
  <c r="HA43" i="184"/>
  <c r="HB43" i="184"/>
  <c r="HC43" i="184"/>
  <c r="HD43" i="184"/>
  <c r="HE43" i="184"/>
  <c r="HF43" i="184"/>
  <c r="HG43" i="184"/>
  <c r="HH43" i="184"/>
  <c r="HI43" i="184"/>
  <c r="HJ43" i="184"/>
  <c r="HK43" i="184"/>
  <c r="HL43" i="184"/>
  <c r="HM43" i="184"/>
  <c r="HN43" i="184"/>
  <c r="HO43" i="184"/>
  <c r="HP43" i="184"/>
  <c r="HQ43" i="184"/>
  <c r="HR43" i="184"/>
  <c r="HS43" i="184"/>
  <c r="HT43" i="184"/>
  <c r="HU43" i="184"/>
  <c r="HV43" i="184"/>
  <c r="HW43" i="184"/>
  <c r="HX43" i="184"/>
  <c r="HY43" i="184"/>
  <c r="HZ43" i="184"/>
  <c r="IA43" i="184"/>
  <c r="IB43" i="184"/>
  <c r="IC43" i="184"/>
  <c r="ID43" i="184"/>
  <c r="IE43" i="184"/>
  <c r="IF43" i="184"/>
  <c r="IG43" i="184"/>
  <c r="IH43" i="184"/>
  <c r="II43" i="184"/>
  <c r="IJ43" i="184"/>
  <c r="IK43" i="184"/>
  <c r="IL43" i="184"/>
  <c r="IM43" i="184"/>
  <c r="IN43" i="184"/>
  <c r="IO43" i="184"/>
  <c r="IP43" i="184"/>
  <c r="IQ43" i="184"/>
  <c r="IR43" i="184"/>
  <c r="IS43" i="184"/>
  <c r="IT43" i="184"/>
  <c r="IU43" i="184"/>
  <c r="IV43" i="184"/>
  <c r="A42" i="184"/>
  <c r="B42" i="184"/>
  <c r="C42" i="184"/>
  <c r="D42" i="184"/>
  <c r="E42" i="184"/>
  <c r="F42" i="184"/>
  <c r="G42" i="184"/>
  <c r="H42" i="184"/>
  <c r="I42" i="184"/>
  <c r="J42" i="184"/>
  <c r="K42" i="184"/>
  <c r="L42" i="184"/>
  <c r="M42" i="184"/>
  <c r="N42" i="184"/>
  <c r="O42" i="184"/>
  <c r="P42" i="184"/>
  <c r="Q42" i="184"/>
  <c r="R42" i="184"/>
  <c r="S42" i="184"/>
  <c r="T42" i="184"/>
  <c r="U42" i="184"/>
  <c r="V42" i="184"/>
  <c r="W42" i="184"/>
  <c r="X42" i="184"/>
  <c r="Y42" i="184"/>
  <c r="Z42" i="184"/>
  <c r="AA42" i="184"/>
  <c r="AB42" i="184"/>
  <c r="AC42" i="184"/>
  <c r="AD42" i="184"/>
  <c r="AE42" i="184"/>
  <c r="AF42" i="184"/>
  <c r="AG42" i="184"/>
  <c r="AH42" i="184"/>
  <c r="AI42" i="184"/>
  <c r="AJ42" i="184"/>
  <c r="AK42" i="184"/>
  <c r="AL42" i="184"/>
  <c r="AM42" i="184"/>
  <c r="AN42" i="184"/>
  <c r="AO42" i="184"/>
  <c r="AP42" i="184"/>
  <c r="AQ42" i="184"/>
  <c r="AR42" i="184"/>
  <c r="AS42" i="184"/>
  <c r="AT42" i="184"/>
  <c r="AU42" i="184"/>
  <c r="AV42" i="184"/>
  <c r="AW42" i="184"/>
  <c r="AX42" i="184"/>
  <c r="AY42" i="184"/>
  <c r="AZ42" i="184"/>
  <c r="BA42" i="184"/>
  <c r="BB42" i="184"/>
  <c r="BC42" i="184"/>
  <c r="BD42" i="184"/>
  <c r="BE42" i="184"/>
  <c r="BF42" i="184"/>
  <c r="BG42" i="184"/>
  <c r="BH42" i="184"/>
  <c r="BI42" i="184"/>
  <c r="BJ42" i="184"/>
  <c r="BK42" i="184"/>
  <c r="BL42" i="184"/>
  <c r="BM42" i="184"/>
  <c r="BN42" i="184"/>
  <c r="BO42" i="184"/>
  <c r="BP42" i="184"/>
  <c r="BQ42" i="184"/>
  <c r="BR42" i="184"/>
  <c r="BS42" i="184"/>
  <c r="BT42" i="184"/>
  <c r="BU42" i="184"/>
  <c r="BV42" i="184"/>
  <c r="BW42" i="184"/>
  <c r="BX42" i="184"/>
  <c r="BY42" i="184"/>
  <c r="BZ42" i="184"/>
  <c r="CA42" i="184"/>
  <c r="CB42" i="184"/>
  <c r="CC42" i="184"/>
  <c r="CD42" i="184"/>
  <c r="CE42" i="184"/>
  <c r="CF42" i="184"/>
  <c r="CG42" i="184"/>
  <c r="CH42" i="184"/>
  <c r="CI42" i="184"/>
  <c r="CJ42" i="184"/>
  <c r="CK42" i="184"/>
  <c r="CL42" i="184"/>
  <c r="CM42" i="184"/>
  <c r="CN42" i="184"/>
  <c r="CO42" i="184"/>
  <c r="CP42" i="184"/>
  <c r="CQ42" i="184"/>
  <c r="CR42" i="184"/>
  <c r="CS42" i="184"/>
  <c r="CT42" i="184"/>
  <c r="CU42" i="184"/>
  <c r="CV42" i="184"/>
  <c r="CW42" i="184"/>
  <c r="CX42" i="184"/>
  <c r="CY42" i="184"/>
  <c r="CZ42" i="184"/>
  <c r="DA42" i="184"/>
  <c r="DB42" i="184"/>
  <c r="DC42" i="184"/>
  <c r="DD42" i="184"/>
  <c r="DE42" i="184"/>
  <c r="DF42" i="184"/>
  <c r="DG42" i="184"/>
  <c r="DH42" i="184"/>
  <c r="DI42" i="184"/>
  <c r="DJ42" i="184"/>
  <c r="DK42" i="184"/>
  <c r="DL42" i="184"/>
  <c r="DM42" i="184"/>
  <c r="DN42" i="184"/>
  <c r="DO42" i="184"/>
  <c r="DP42" i="184"/>
  <c r="DQ42" i="184"/>
  <c r="DR42" i="184"/>
  <c r="DS42" i="184"/>
  <c r="DT42" i="184"/>
  <c r="DU42" i="184"/>
  <c r="DV42" i="184"/>
  <c r="DW42" i="184"/>
  <c r="DX42" i="184"/>
  <c r="DY42" i="184"/>
  <c r="DZ42" i="184"/>
  <c r="EA42" i="184"/>
  <c r="EB42" i="184"/>
  <c r="EC42" i="184"/>
  <c r="ED42" i="184"/>
  <c r="EE42" i="184"/>
  <c r="EF42" i="184"/>
  <c r="EG42" i="184"/>
  <c r="EH42" i="184"/>
  <c r="EI42" i="184"/>
  <c r="EJ42" i="184"/>
  <c r="EK42" i="184"/>
  <c r="EL42" i="184"/>
  <c r="EM42" i="184"/>
  <c r="EN42" i="184"/>
  <c r="EO42" i="184"/>
  <c r="EP42" i="184"/>
  <c r="EQ42" i="184"/>
  <c r="ER42" i="184"/>
  <c r="ES42" i="184"/>
  <c r="ET42" i="184"/>
  <c r="EU42" i="184"/>
  <c r="EV42" i="184"/>
  <c r="EW42" i="184"/>
  <c r="EX42" i="184"/>
  <c r="EY42" i="184"/>
  <c r="EZ42" i="184"/>
  <c r="FA42" i="184"/>
  <c r="FB42" i="184"/>
  <c r="FC42" i="184"/>
  <c r="FD42" i="184"/>
  <c r="FE42" i="184"/>
  <c r="FF42" i="184"/>
  <c r="FG42" i="184"/>
  <c r="FH42" i="184"/>
  <c r="FI42" i="184"/>
  <c r="FJ42" i="184"/>
  <c r="FK42" i="184"/>
  <c r="FL42" i="184"/>
  <c r="FM42" i="184"/>
  <c r="FN42" i="184"/>
  <c r="FO42" i="184"/>
  <c r="FP42" i="184"/>
  <c r="FQ42" i="184"/>
  <c r="FR42" i="184"/>
  <c r="FS42" i="184"/>
  <c r="FT42" i="184"/>
  <c r="FU42" i="184"/>
  <c r="FV42" i="184"/>
  <c r="FW42" i="184"/>
  <c r="FX42" i="184"/>
  <c r="FY42" i="184"/>
  <c r="FZ42" i="184"/>
  <c r="GA42" i="184"/>
  <c r="GB42" i="184"/>
  <c r="GC42" i="184"/>
  <c r="GD42" i="184"/>
  <c r="GE42" i="184"/>
  <c r="GF42" i="184"/>
  <c r="GG42" i="184"/>
  <c r="GH42" i="184"/>
  <c r="GI42" i="184"/>
  <c r="GJ42" i="184"/>
  <c r="GK42" i="184"/>
  <c r="GL42" i="184"/>
  <c r="GM42" i="184"/>
  <c r="GN42" i="184"/>
  <c r="GO42" i="184"/>
  <c r="GP42" i="184"/>
  <c r="GQ42" i="184"/>
  <c r="GR42" i="184"/>
  <c r="GS42" i="184"/>
  <c r="GT42" i="184"/>
  <c r="GU42" i="184"/>
  <c r="GV42" i="184"/>
  <c r="GW42" i="184"/>
  <c r="GX42" i="184"/>
  <c r="GY42" i="184"/>
  <c r="GZ42" i="184"/>
  <c r="HA42" i="184"/>
  <c r="HB42" i="184"/>
  <c r="HC42" i="184"/>
  <c r="HD42" i="184"/>
  <c r="HE42" i="184"/>
  <c r="HF42" i="184"/>
  <c r="HG42" i="184"/>
  <c r="HH42" i="184"/>
  <c r="HI42" i="184"/>
  <c r="HJ42" i="184"/>
  <c r="HK42" i="184"/>
  <c r="HL42" i="184"/>
  <c r="HM42" i="184"/>
  <c r="HN42" i="184"/>
  <c r="HO42" i="184"/>
  <c r="HP42" i="184"/>
  <c r="HQ42" i="184"/>
  <c r="HR42" i="184"/>
  <c r="HS42" i="184"/>
  <c r="HT42" i="184"/>
  <c r="HU42" i="184"/>
  <c r="HV42" i="184"/>
  <c r="HW42" i="184"/>
  <c r="HX42" i="184"/>
  <c r="HY42" i="184"/>
  <c r="HZ42" i="184"/>
  <c r="IA42" i="184"/>
  <c r="IB42" i="184"/>
  <c r="IC42" i="184"/>
  <c r="ID42" i="184"/>
  <c r="IE42" i="184"/>
  <c r="IF42" i="184"/>
  <c r="IG42" i="184"/>
  <c r="IH42" i="184"/>
  <c r="II42" i="184"/>
  <c r="IJ42" i="184"/>
  <c r="IK42" i="184"/>
  <c r="IL42" i="184"/>
  <c r="IM42" i="184"/>
  <c r="IN42" i="184"/>
  <c r="IO42" i="184"/>
  <c r="IP42" i="184"/>
  <c r="IQ42" i="184"/>
  <c r="IR42" i="184"/>
  <c r="IS42" i="184"/>
  <c r="IT42" i="184"/>
  <c r="IU42" i="184"/>
  <c r="IV42" i="184"/>
  <c r="A41" i="184"/>
  <c r="B41" i="184"/>
  <c r="C41" i="184"/>
  <c r="D41" i="184"/>
  <c r="E41" i="184"/>
  <c r="F41" i="184"/>
  <c r="G41" i="184"/>
  <c r="H41" i="184"/>
  <c r="I41" i="184"/>
  <c r="J41" i="184"/>
  <c r="K41" i="184"/>
  <c r="L41" i="184"/>
  <c r="M41" i="184"/>
  <c r="N41" i="184"/>
  <c r="O41" i="184"/>
  <c r="P41" i="184"/>
  <c r="Q41" i="184"/>
  <c r="R41" i="184"/>
  <c r="S41" i="184"/>
  <c r="T41" i="184"/>
  <c r="U41" i="184"/>
  <c r="V41" i="184"/>
  <c r="W41" i="184"/>
  <c r="X41" i="184"/>
  <c r="Y41" i="184"/>
  <c r="Z41" i="184"/>
  <c r="AA41" i="184"/>
  <c r="AB41" i="184"/>
  <c r="AC41" i="184"/>
  <c r="AD41" i="184"/>
  <c r="AE41" i="184"/>
  <c r="AF41" i="184"/>
  <c r="AG41" i="184"/>
  <c r="AH41" i="184"/>
  <c r="AI41" i="184"/>
  <c r="AJ41" i="184"/>
  <c r="AK41" i="184"/>
  <c r="AL41" i="184"/>
  <c r="AM41" i="184"/>
  <c r="AN41" i="184"/>
  <c r="AO41" i="184"/>
  <c r="AP41" i="184"/>
  <c r="AQ41" i="184"/>
  <c r="AR41" i="184"/>
  <c r="AS41" i="184"/>
  <c r="AT41" i="184"/>
  <c r="AU41" i="184"/>
  <c r="AV41" i="184"/>
  <c r="AW41" i="184"/>
  <c r="AX41" i="184"/>
  <c r="AY41" i="184"/>
  <c r="AZ41" i="184"/>
  <c r="BA41" i="184"/>
  <c r="BB41" i="184"/>
  <c r="BC41" i="184"/>
  <c r="BD41" i="184"/>
  <c r="BE41" i="184"/>
  <c r="BF41" i="184"/>
  <c r="BG41" i="184"/>
  <c r="BH41" i="184"/>
  <c r="BI41" i="184"/>
  <c r="BJ41" i="184"/>
  <c r="BK41" i="184"/>
  <c r="BL41" i="184"/>
  <c r="BM41" i="184"/>
  <c r="BN41" i="184"/>
  <c r="BO41" i="184"/>
  <c r="BP41" i="184"/>
  <c r="BQ41" i="184"/>
  <c r="BR41" i="184"/>
  <c r="BS41" i="184"/>
  <c r="BT41" i="184"/>
  <c r="BU41" i="184"/>
  <c r="BV41" i="184"/>
  <c r="BW41" i="184"/>
  <c r="BX41" i="184"/>
  <c r="BY41" i="184"/>
  <c r="BZ41" i="184"/>
  <c r="CA41" i="184"/>
  <c r="CB41" i="184"/>
  <c r="CC41" i="184"/>
  <c r="CD41" i="184"/>
  <c r="CE41" i="184"/>
  <c r="CF41" i="184"/>
  <c r="CG41" i="184"/>
  <c r="CH41" i="184"/>
  <c r="CI41" i="184"/>
  <c r="CJ41" i="184"/>
  <c r="CK41" i="184"/>
  <c r="CL41" i="184"/>
  <c r="CM41" i="184"/>
  <c r="CN41" i="184"/>
  <c r="CO41" i="184"/>
  <c r="CP41" i="184"/>
  <c r="CQ41" i="184"/>
  <c r="CR41" i="184"/>
  <c r="CS41" i="184"/>
  <c r="CT41" i="184"/>
  <c r="CU41" i="184"/>
  <c r="CV41" i="184"/>
  <c r="CW41" i="184"/>
  <c r="CX41" i="184"/>
  <c r="CY41" i="184"/>
  <c r="CZ41" i="184"/>
  <c r="DA41" i="184"/>
  <c r="DB41" i="184"/>
  <c r="DC41" i="184"/>
  <c r="DD41" i="184"/>
  <c r="DE41" i="184"/>
  <c r="DF41" i="184"/>
  <c r="DG41" i="184"/>
  <c r="DH41" i="184"/>
  <c r="DI41" i="184"/>
  <c r="DJ41" i="184"/>
  <c r="DK41" i="184"/>
  <c r="DL41" i="184"/>
  <c r="DM41" i="184"/>
  <c r="DN41" i="184"/>
  <c r="DO41" i="184"/>
  <c r="DP41" i="184"/>
  <c r="DQ41" i="184"/>
  <c r="DR41" i="184"/>
  <c r="DS41" i="184"/>
  <c r="DT41" i="184"/>
  <c r="DU41" i="184"/>
  <c r="DV41" i="184"/>
  <c r="DW41" i="184"/>
  <c r="DX41" i="184"/>
  <c r="DY41" i="184"/>
  <c r="DZ41" i="184"/>
  <c r="EA41" i="184"/>
  <c r="EB41" i="184"/>
  <c r="EC41" i="184"/>
  <c r="ED41" i="184"/>
  <c r="EE41" i="184"/>
  <c r="EF41" i="184"/>
  <c r="EG41" i="184"/>
  <c r="EH41" i="184"/>
  <c r="EI41" i="184"/>
  <c r="EJ41" i="184"/>
  <c r="EK41" i="184"/>
  <c r="EL41" i="184"/>
  <c r="EM41" i="184"/>
  <c r="EN41" i="184"/>
  <c r="EO41" i="184"/>
  <c r="EP41" i="184"/>
  <c r="EQ41" i="184"/>
  <c r="ER41" i="184"/>
  <c r="ES41" i="184"/>
  <c r="ET41" i="184"/>
  <c r="EU41" i="184"/>
  <c r="EV41" i="184"/>
  <c r="EW41" i="184"/>
  <c r="EX41" i="184"/>
  <c r="EY41" i="184"/>
  <c r="EZ41" i="184"/>
  <c r="FA41" i="184"/>
  <c r="FB41" i="184"/>
  <c r="FC41" i="184"/>
  <c r="FD41" i="184"/>
  <c r="FE41" i="184"/>
  <c r="FF41" i="184"/>
  <c r="FG41" i="184"/>
  <c r="FH41" i="184"/>
  <c r="FI41" i="184"/>
  <c r="FJ41" i="184"/>
  <c r="FK41" i="184"/>
  <c r="FL41" i="184"/>
  <c r="FM41" i="184"/>
  <c r="FN41" i="184"/>
  <c r="FO41" i="184"/>
  <c r="FP41" i="184"/>
  <c r="FQ41" i="184"/>
  <c r="FR41" i="184"/>
  <c r="FS41" i="184"/>
  <c r="FT41" i="184"/>
  <c r="FU41" i="184"/>
  <c r="FV41" i="184"/>
  <c r="FW41" i="184"/>
  <c r="FX41" i="184"/>
  <c r="FY41" i="184"/>
  <c r="FZ41" i="184"/>
  <c r="GA41" i="184"/>
  <c r="GB41" i="184"/>
  <c r="GC41" i="184"/>
  <c r="GD41" i="184"/>
  <c r="GE41" i="184"/>
  <c r="GF41" i="184"/>
  <c r="GG41" i="184"/>
  <c r="GH41" i="184"/>
  <c r="GI41" i="184"/>
  <c r="GJ41" i="184"/>
  <c r="GK41" i="184"/>
  <c r="GL41" i="184"/>
  <c r="GM41" i="184"/>
  <c r="GN41" i="184"/>
  <c r="GO41" i="184"/>
  <c r="GP41" i="184"/>
  <c r="GQ41" i="184"/>
  <c r="GR41" i="184"/>
  <c r="GS41" i="184"/>
  <c r="GT41" i="184"/>
  <c r="GU41" i="184"/>
  <c r="GV41" i="184"/>
  <c r="GW41" i="184"/>
  <c r="GX41" i="184"/>
  <c r="GY41" i="184"/>
  <c r="GZ41" i="184"/>
  <c r="HA41" i="184"/>
  <c r="HB41" i="184"/>
  <c r="HC41" i="184"/>
  <c r="HD41" i="184"/>
  <c r="HE41" i="184"/>
  <c r="HF41" i="184"/>
  <c r="HG41" i="184"/>
  <c r="HH41" i="184"/>
  <c r="HI41" i="184"/>
  <c r="HJ41" i="184"/>
  <c r="HK41" i="184"/>
  <c r="HL41" i="184"/>
  <c r="HM41" i="184"/>
  <c r="HN41" i="184"/>
  <c r="HO41" i="184"/>
  <c r="HP41" i="184"/>
  <c r="HQ41" i="184"/>
  <c r="HR41" i="184"/>
  <c r="HS41" i="184"/>
  <c r="HT41" i="184"/>
  <c r="HU41" i="184"/>
  <c r="HV41" i="184"/>
  <c r="HW41" i="184"/>
  <c r="HX41" i="184"/>
  <c r="HY41" i="184"/>
  <c r="HZ41" i="184"/>
  <c r="IA41" i="184"/>
  <c r="IB41" i="184"/>
  <c r="IC41" i="184"/>
  <c r="ID41" i="184"/>
  <c r="IE41" i="184"/>
  <c r="IF41" i="184"/>
  <c r="IG41" i="184"/>
  <c r="IH41" i="184"/>
  <c r="II41" i="184"/>
  <c r="IJ41" i="184"/>
  <c r="IK41" i="184"/>
  <c r="IL41" i="184"/>
  <c r="IM41" i="184"/>
  <c r="IN41" i="184"/>
  <c r="IO41" i="184"/>
  <c r="IP41" i="184"/>
  <c r="IQ41" i="184"/>
  <c r="IR41" i="184"/>
  <c r="IS41" i="184"/>
  <c r="IT41" i="184"/>
  <c r="IU41" i="184"/>
  <c r="IV41" i="184"/>
  <c r="A40" i="184"/>
  <c r="B40" i="184"/>
  <c r="C40" i="184"/>
  <c r="D40" i="184"/>
  <c r="E40" i="184"/>
  <c r="F40" i="184"/>
  <c r="G40" i="184"/>
  <c r="H40" i="184"/>
  <c r="I40" i="184"/>
  <c r="J40" i="184"/>
  <c r="K40" i="184"/>
  <c r="L40" i="184"/>
  <c r="M40" i="184"/>
  <c r="N40" i="184"/>
  <c r="O40" i="184"/>
  <c r="P40" i="184"/>
  <c r="Q40" i="184"/>
  <c r="R40" i="184"/>
  <c r="S40" i="184"/>
  <c r="T40" i="184"/>
  <c r="U40" i="184"/>
  <c r="V40" i="184"/>
  <c r="W40" i="184"/>
  <c r="X40" i="184"/>
  <c r="Y40" i="184"/>
  <c r="Z40" i="184"/>
  <c r="AA40" i="184"/>
  <c r="AB40" i="184"/>
  <c r="AC40" i="184"/>
  <c r="AD40" i="184"/>
  <c r="AE40" i="184"/>
  <c r="AF40" i="184"/>
  <c r="AG40" i="184"/>
  <c r="AH40" i="184"/>
  <c r="AI40" i="184"/>
  <c r="AJ40" i="184"/>
  <c r="AK40" i="184"/>
  <c r="AL40" i="184"/>
  <c r="AM40" i="184"/>
  <c r="AN40" i="184"/>
  <c r="AO40" i="184"/>
  <c r="AP40" i="184"/>
  <c r="AQ40" i="184"/>
  <c r="AR40" i="184"/>
  <c r="AS40" i="184"/>
  <c r="AT40" i="184"/>
  <c r="AU40" i="184"/>
  <c r="AV40" i="184"/>
  <c r="AW40" i="184"/>
  <c r="AX40" i="184"/>
  <c r="AY40" i="184"/>
  <c r="AZ40" i="184"/>
  <c r="BA40" i="184"/>
  <c r="BB40" i="184"/>
  <c r="BC40" i="184"/>
  <c r="BD40" i="184"/>
  <c r="BE40" i="184"/>
  <c r="BF40" i="184"/>
  <c r="BG40" i="184"/>
  <c r="BH40" i="184"/>
  <c r="BI40" i="184"/>
  <c r="BJ40" i="184"/>
  <c r="BK40" i="184"/>
  <c r="BL40" i="184"/>
  <c r="BM40" i="184"/>
  <c r="BN40" i="184"/>
  <c r="BO40" i="184"/>
  <c r="BP40" i="184"/>
  <c r="BQ40" i="184"/>
  <c r="BR40" i="184"/>
  <c r="BS40" i="184"/>
  <c r="BT40" i="184"/>
  <c r="BU40" i="184"/>
  <c r="BV40" i="184"/>
  <c r="BW40" i="184"/>
  <c r="BX40" i="184"/>
  <c r="BY40" i="184"/>
  <c r="BZ40" i="184"/>
  <c r="CA40" i="184"/>
  <c r="CB40" i="184"/>
  <c r="CC40" i="184"/>
  <c r="CD40" i="184"/>
  <c r="CE40" i="184"/>
  <c r="CF40" i="184"/>
  <c r="CG40" i="184"/>
  <c r="CH40" i="184"/>
  <c r="CI40" i="184"/>
  <c r="CJ40" i="184"/>
  <c r="CK40" i="184"/>
  <c r="CL40" i="184"/>
  <c r="CM40" i="184"/>
  <c r="CN40" i="184"/>
  <c r="CO40" i="184"/>
  <c r="CP40" i="184"/>
  <c r="CQ40" i="184"/>
  <c r="CR40" i="184"/>
  <c r="CS40" i="184"/>
  <c r="CT40" i="184"/>
  <c r="CU40" i="184"/>
  <c r="CV40" i="184"/>
  <c r="CW40" i="184"/>
  <c r="CX40" i="184"/>
  <c r="CY40" i="184"/>
  <c r="CZ40" i="184"/>
  <c r="DA40" i="184"/>
  <c r="DB40" i="184"/>
  <c r="DC40" i="184"/>
  <c r="DD40" i="184"/>
  <c r="DE40" i="184"/>
  <c r="DF40" i="184"/>
  <c r="DG40" i="184"/>
  <c r="DH40" i="184"/>
  <c r="DI40" i="184"/>
  <c r="DJ40" i="184"/>
  <c r="DK40" i="184"/>
  <c r="DL40" i="184"/>
  <c r="DM40" i="184"/>
  <c r="DN40" i="184"/>
  <c r="DO40" i="184"/>
  <c r="DP40" i="184"/>
  <c r="DQ40" i="184"/>
  <c r="DR40" i="184"/>
  <c r="DS40" i="184"/>
  <c r="DT40" i="184"/>
  <c r="DU40" i="184"/>
  <c r="DV40" i="184"/>
  <c r="DW40" i="184"/>
  <c r="DX40" i="184"/>
  <c r="DY40" i="184"/>
  <c r="DZ40" i="184"/>
  <c r="EA40" i="184"/>
  <c r="EB40" i="184"/>
  <c r="EC40" i="184"/>
  <c r="ED40" i="184"/>
  <c r="EE40" i="184"/>
  <c r="EF40" i="184"/>
  <c r="EG40" i="184"/>
  <c r="EH40" i="184"/>
  <c r="EI40" i="184"/>
  <c r="EJ40" i="184"/>
  <c r="EK40" i="184"/>
  <c r="EL40" i="184"/>
  <c r="EM40" i="184"/>
  <c r="EN40" i="184"/>
  <c r="EO40" i="184"/>
  <c r="EP40" i="184"/>
  <c r="EQ40" i="184"/>
  <c r="ER40" i="184"/>
  <c r="ES40" i="184"/>
  <c r="ET40" i="184"/>
  <c r="EU40" i="184"/>
  <c r="EV40" i="184"/>
  <c r="EW40" i="184"/>
  <c r="EX40" i="184"/>
  <c r="EY40" i="184"/>
  <c r="EZ40" i="184"/>
  <c r="FA40" i="184"/>
  <c r="FB40" i="184"/>
  <c r="FC40" i="184"/>
  <c r="FD40" i="184"/>
  <c r="FE40" i="184"/>
  <c r="FF40" i="184"/>
  <c r="FG40" i="184"/>
  <c r="FH40" i="184"/>
  <c r="FI40" i="184"/>
  <c r="FJ40" i="184"/>
  <c r="FK40" i="184"/>
  <c r="FL40" i="184"/>
  <c r="FM40" i="184"/>
  <c r="FN40" i="184"/>
  <c r="FO40" i="184"/>
  <c r="FP40" i="184"/>
  <c r="FQ40" i="184"/>
  <c r="FR40" i="184"/>
  <c r="FS40" i="184"/>
  <c r="FT40" i="184"/>
  <c r="FU40" i="184"/>
  <c r="FV40" i="184"/>
  <c r="FW40" i="184"/>
  <c r="FX40" i="184"/>
  <c r="FY40" i="184"/>
  <c r="FZ40" i="184"/>
  <c r="GA40" i="184"/>
  <c r="GB40" i="184"/>
  <c r="GC40" i="184"/>
  <c r="GD40" i="184"/>
  <c r="GE40" i="184"/>
  <c r="GF40" i="184"/>
  <c r="GG40" i="184"/>
  <c r="GH40" i="184"/>
  <c r="GI40" i="184"/>
  <c r="GJ40" i="184"/>
  <c r="GK40" i="184"/>
  <c r="GL40" i="184"/>
  <c r="GM40" i="184"/>
  <c r="GN40" i="184"/>
  <c r="GO40" i="184"/>
  <c r="GP40" i="184"/>
  <c r="GQ40" i="184"/>
  <c r="GR40" i="184"/>
  <c r="GS40" i="184"/>
  <c r="GT40" i="184"/>
  <c r="GU40" i="184"/>
  <c r="GV40" i="184"/>
  <c r="GW40" i="184"/>
  <c r="GX40" i="184"/>
  <c r="GY40" i="184"/>
  <c r="GZ40" i="184"/>
  <c r="HA40" i="184"/>
  <c r="HB40" i="184"/>
  <c r="HC40" i="184"/>
  <c r="HD40" i="184"/>
  <c r="HE40" i="184"/>
  <c r="HF40" i="184"/>
  <c r="HG40" i="184"/>
  <c r="HH40" i="184"/>
  <c r="HI40" i="184"/>
  <c r="HJ40" i="184"/>
  <c r="HK40" i="184"/>
  <c r="HL40" i="184"/>
  <c r="HM40" i="184"/>
  <c r="HN40" i="184"/>
  <c r="HO40" i="184"/>
  <c r="HP40" i="184"/>
  <c r="HQ40" i="184"/>
  <c r="HR40" i="184"/>
  <c r="HS40" i="184"/>
  <c r="HT40" i="184"/>
  <c r="HU40" i="184"/>
  <c r="HV40" i="184"/>
  <c r="HW40" i="184"/>
  <c r="HX40" i="184"/>
  <c r="HY40" i="184"/>
  <c r="HZ40" i="184"/>
  <c r="IA40" i="184"/>
  <c r="IB40" i="184"/>
  <c r="IC40" i="184"/>
  <c r="ID40" i="184"/>
  <c r="IE40" i="184"/>
  <c r="IF40" i="184"/>
  <c r="IG40" i="184"/>
  <c r="IH40" i="184"/>
  <c r="II40" i="184"/>
  <c r="IJ40" i="184"/>
  <c r="IK40" i="184"/>
  <c r="IL40" i="184"/>
  <c r="IM40" i="184"/>
  <c r="IN40" i="184"/>
  <c r="IO40" i="184"/>
  <c r="IP40" i="184"/>
  <c r="IQ40" i="184"/>
  <c r="IR40" i="184"/>
  <c r="IS40" i="184"/>
  <c r="IT40" i="184"/>
  <c r="IU40" i="184"/>
  <c r="IV40" i="184"/>
  <c r="A39" i="184"/>
  <c r="B39" i="184"/>
  <c r="C39" i="184"/>
  <c r="D39" i="184"/>
  <c r="E39" i="184"/>
  <c r="F39" i="184"/>
  <c r="G39" i="184"/>
  <c r="H39" i="184"/>
  <c r="I39" i="184"/>
  <c r="J39" i="184"/>
  <c r="K39" i="184"/>
  <c r="L39" i="184"/>
  <c r="M39" i="184"/>
  <c r="N39" i="184"/>
  <c r="O39" i="184"/>
  <c r="P39" i="184"/>
  <c r="Q39" i="184"/>
  <c r="R39" i="184"/>
  <c r="S39" i="184"/>
  <c r="T39" i="184"/>
  <c r="U39" i="184"/>
  <c r="V39" i="184"/>
  <c r="W39" i="184"/>
  <c r="X39" i="184"/>
  <c r="Y39" i="184"/>
  <c r="Z39" i="184"/>
  <c r="AA39" i="184"/>
  <c r="AB39" i="184"/>
  <c r="AC39" i="184"/>
  <c r="AD39" i="184"/>
  <c r="AE39" i="184"/>
  <c r="AF39" i="184"/>
  <c r="AG39" i="184"/>
  <c r="AH39" i="184"/>
  <c r="AI39" i="184"/>
  <c r="AJ39" i="184"/>
  <c r="AK39" i="184"/>
  <c r="AL39" i="184"/>
  <c r="AM39" i="184"/>
  <c r="AN39" i="184"/>
  <c r="AO39" i="184"/>
  <c r="AP39" i="184"/>
  <c r="AQ39" i="184"/>
  <c r="AR39" i="184"/>
  <c r="AS39" i="184"/>
  <c r="AT39" i="184"/>
  <c r="AU39" i="184"/>
  <c r="AV39" i="184"/>
  <c r="AW39" i="184"/>
  <c r="AX39" i="184"/>
  <c r="AY39" i="184"/>
  <c r="AZ39" i="184"/>
  <c r="BA39" i="184"/>
  <c r="BB39" i="184"/>
  <c r="BC39" i="184"/>
  <c r="BD39" i="184"/>
  <c r="BE39" i="184"/>
  <c r="BF39" i="184"/>
  <c r="BG39" i="184"/>
  <c r="BH39" i="184"/>
  <c r="BI39" i="184"/>
  <c r="BJ39" i="184"/>
  <c r="BK39" i="184"/>
  <c r="BL39" i="184"/>
  <c r="BM39" i="184"/>
  <c r="BN39" i="184"/>
  <c r="BO39" i="184"/>
  <c r="BP39" i="184"/>
  <c r="BQ39" i="184"/>
  <c r="BR39" i="184"/>
  <c r="BS39" i="184"/>
  <c r="BT39" i="184"/>
  <c r="BU39" i="184"/>
  <c r="BV39" i="184"/>
  <c r="BW39" i="184"/>
  <c r="BX39" i="184"/>
  <c r="BY39" i="184"/>
  <c r="BZ39" i="184"/>
  <c r="CA39" i="184"/>
  <c r="CB39" i="184"/>
  <c r="CC39" i="184"/>
  <c r="CD39" i="184"/>
  <c r="CE39" i="184"/>
  <c r="CF39" i="184"/>
  <c r="CG39" i="184"/>
  <c r="CH39" i="184"/>
  <c r="CI39" i="184"/>
  <c r="CJ39" i="184"/>
  <c r="CK39" i="184"/>
  <c r="CL39" i="184"/>
  <c r="CM39" i="184"/>
  <c r="CN39" i="184"/>
  <c r="CO39" i="184"/>
  <c r="CP39" i="184"/>
  <c r="CQ39" i="184"/>
  <c r="CR39" i="184"/>
  <c r="CS39" i="184"/>
  <c r="CT39" i="184"/>
  <c r="CU39" i="184"/>
  <c r="CV39" i="184"/>
  <c r="CW39" i="184"/>
  <c r="CX39" i="184"/>
  <c r="CY39" i="184"/>
  <c r="CZ39" i="184"/>
  <c r="DA39" i="184"/>
  <c r="DB39" i="184"/>
  <c r="DC39" i="184"/>
  <c r="DD39" i="184"/>
  <c r="DE39" i="184"/>
  <c r="DF39" i="184"/>
  <c r="DG39" i="184"/>
  <c r="DH39" i="184"/>
  <c r="DI39" i="184"/>
  <c r="DJ39" i="184"/>
  <c r="DK39" i="184"/>
  <c r="DL39" i="184"/>
  <c r="DM39" i="184"/>
  <c r="DN39" i="184"/>
  <c r="DP39" i="184"/>
  <c r="DQ39" i="184"/>
  <c r="DR39" i="184"/>
  <c r="DS39" i="184"/>
  <c r="DT39" i="184"/>
  <c r="DU39" i="184"/>
  <c r="DV39" i="184"/>
  <c r="DW39" i="184"/>
  <c r="DX39" i="184"/>
  <c r="DY39" i="184"/>
  <c r="DZ39" i="184"/>
  <c r="EA39" i="184"/>
  <c r="EB39" i="184"/>
  <c r="EC39" i="184"/>
  <c r="ED39" i="184"/>
  <c r="EE39" i="184"/>
  <c r="EF39" i="184"/>
  <c r="EG39" i="184"/>
  <c r="EH39" i="184"/>
  <c r="EI39" i="184"/>
  <c r="EJ39" i="184"/>
  <c r="EK39" i="184"/>
  <c r="EL39" i="184"/>
  <c r="EM39" i="184"/>
  <c r="EN39" i="184"/>
  <c r="EO39" i="184"/>
  <c r="EP39" i="184"/>
  <c r="EQ39" i="184"/>
  <c r="ER39" i="184"/>
  <c r="ES39" i="184"/>
  <c r="ET39" i="184"/>
  <c r="EU39" i="184"/>
  <c r="EV39" i="184"/>
  <c r="EW39" i="184"/>
  <c r="EX39" i="184"/>
  <c r="EY39" i="184"/>
  <c r="EZ39" i="184"/>
  <c r="FA39" i="184"/>
  <c r="FB39" i="184"/>
  <c r="FC39" i="184"/>
  <c r="FD39" i="184"/>
  <c r="FE39" i="184"/>
  <c r="FF39" i="184"/>
  <c r="FG39" i="184"/>
  <c r="FH39" i="184"/>
  <c r="FI39" i="184"/>
  <c r="FJ39" i="184"/>
  <c r="FK39" i="184"/>
  <c r="FL39" i="184"/>
  <c r="FM39" i="184"/>
  <c r="FN39" i="184"/>
  <c r="FO39" i="184"/>
  <c r="FP39" i="184"/>
  <c r="FQ39" i="184"/>
  <c r="FR39" i="184"/>
  <c r="FS39" i="184"/>
  <c r="FT39" i="184"/>
  <c r="FU39" i="184"/>
  <c r="FV39" i="184"/>
  <c r="FW39" i="184"/>
  <c r="FX39" i="184"/>
  <c r="FY39" i="184"/>
  <c r="FZ39" i="184"/>
  <c r="GA39" i="184"/>
  <c r="GB39" i="184"/>
  <c r="GC39" i="184"/>
  <c r="GD39" i="184"/>
  <c r="GE39" i="184"/>
  <c r="GF39" i="184"/>
  <c r="GG39" i="184"/>
  <c r="GH39" i="184"/>
  <c r="GI39" i="184"/>
  <c r="GJ39" i="184"/>
  <c r="GK39" i="184"/>
  <c r="GL39" i="184"/>
  <c r="GM39" i="184"/>
  <c r="GN39" i="184"/>
  <c r="GO39" i="184"/>
  <c r="GP39" i="184"/>
  <c r="GQ39" i="184"/>
  <c r="GR39" i="184"/>
  <c r="GS39" i="184"/>
  <c r="GT39" i="184"/>
  <c r="GU39" i="184"/>
  <c r="GV39" i="184"/>
  <c r="GW39" i="184"/>
  <c r="GX39" i="184"/>
  <c r="GY39" i="184"/>
  <c r="GZ39" i="184"/>
  <c r="HA39" i="184"/>
  <c r="HB39" i="184"/>
  <c r="HC39" i="184"/>
  <c r="HD39" i="184"/>
  <c r="HE39" i="184"/>
  <c r="HF39" i="184"/>
  <c r="HG39" i="184"/>
  <c r="HH39" i="184"/>
  <c r="HI39" i="184"/>
  <c r="HJ39" i="184"/>
  <c r="HK39" i="184"/>
  <c r="HL39" i="184"/>
  <c r="HM39" i="184"/>
  <c r="HN39" i="184"/>
  <c r="HO39" i="184"/>
  <c r="HP39" i="184"/>
  <c r="HQ39" i="184"/>
  <c r="HR39" i="184"/>
  <c r="HS39" i="184"/>
  <c r="HT39" i="184"/>
  <c r="HU39" i="184"/>
  <c r="HV39" i="184"/>
  <c r="HW39" i="184"/>
  <c r="HX39" i="184"/>
  <c r="HY39" i="184"/>
  <c r="HZ39" i="184"/>
  <c r="IA39" i="184"/>
  <c r="IB39" i="184"/>
  <c r="IC39" i="184"/>
  <c r="ID39" i="184"/>
  <c r="IE39" i="184"/>
  <c r="IF39" i="184"/>
  <c r="IG39" i="184"/>
  <c r="IH39" i="184"/>
  <c r="II39" i="184"/>
  <c r="IJ39" i="184"/>
  <c r="IK39" i="184"/>
  <c r="IL39" i="184"/>
  <c r="IM39" i="184"/>
  <c r="IN39" i="184"/>
  <c r="IO39" i="184"/>
  <c r="IP39" i="184"/>
  <c r="IQ39" i="184"/>
  <c r="IR39" i="184"/>
  <c r="IS39" i="184"/>
  <c r="IT39" i="184"/>
  <c r="IU39" i="184"/>
  <c r="IV39" i="184"/>
  <c r="A38" i="184"/>
  <c r="B38" i="184"/>
  <c r="C38" i="184"/>
  <c r="D38" i="184"/>
  <c r="E38" i="184"/>
  <c r="F38" i="184"/>
  <c r="G38" i="184"/>
  <c r="H38" i="184"/>
  <c r="I38" i="184"/>
  <c r="J38" i="184"/>
  <c r="K38" i="184"/>
  <c r="L38" i="184"/>
  <c r="M38" i="184"/>
  <c r="N38" i="184"/>
  <c r="O38" i="184"/>
  <c r="P38" i="184"/>
  <c r="Q38" i="184"/>
  <c r="R38" i="184"/>
  <c r="S38" i="184"/>
  <c r="T38" i="184"/>
  <c r="U38" i="184"/>
  <c r="V38" i="184"/>
  <c r="W38" i="184"/>
  <c r="X38" i="184"/>
  <c r="Y38" i="184"/>
  <c r="Z38" i="184"/>
  <c r="AA38" i="184"/>
  <c r="AB38" i="184"/>
  <c r="AC38" i="184"/>
  <c r="AD38" i="184"/>
  <c r="AE38" i="184"/>
  <c r="AF38" i="184"/>
  <c r="AG38" i="184"/>
  <c r="AH38" i="184"/>
  <c r="AI38" i="184"/>
  <c r="AJ38" i="184"/>
  <c r="AK38" i="184"/>
  <c r="AL38" i="184"/>
  <c r="AM38" i="184"/>
  <c r="AN38" i="184"/>
  <c r="AO38" i="184"/>
  <c r="AP38" i="184"/>
  <c r="AQ38" i="184"/>
  <c r="AR38" i="184"/>
  <c r="AS38" i="184"/>
  <c r="AT38" i="184"/>
  <c r="AU38" i="184"/>
  <c r="AV38" i="184"/>
  <c r="AW38" i="184"/>
  <c r="AX38" i="184"/>
  <c r="AY38" i="184"/>
  <c r="AZ38" i="184"/>
  <c r="BA38" i="184"/>
  <c r="BB38" i="184"/>
  <c r="BC38" i="184"/>
  <c r="BD38" i="184"/>
  <c r="BE38" i="184"/>
  <c r="BF38" i="184"/>
  <c r="BG38" i="184"/>
  <c r="BH38" i="184"/>
  <c r="BI38" i="184"/>
  <c r="BJ38" i="184"/>
  <c r="BK38" i="184"/>
  <c r="BL38" i="184"/>
  <c r="BM38" i="184"/>
  <c r="BN38" i="184"/>
  <c r="BO38" i="184"/>
  <c r="BP38" i="184"/>
  <c r="BQ38" i="184"/>
  <c r="BR38" i="184"/>
  <c r="BS38" i="184"/>
  <c r="BT38" i="184"/>
  <c r="BU38" i="184"/>
  <c r="BV38" i="184"/>
  <c r="BW38" i="184"/>
  <c r="BX38" i="184"/>
  <c r="BY38" i="184"/>
  <c r="BZ38" i="184"/>
  <c r="CA38" i="184"/>
  <c r="CB38" i="184"/>
  <c r="CC38" i="184"/>
  <c r="CD38" i="184"/>
  <c r="CE38" i="184"/>
  <c r="CF38" i="184"/>
  <c r="CG38" i="184"/>
  <c r="CH38" i="184"/>
  <c r="CI38" i="184"/>
  <c r="CJ38" i="184"/>
  <c r="CK38" i="184"/>
  <c r="CL38" i="184"/>
  <c r="CM38" i="184"/>
  <c r="CN38" i="184"/>
  <c r="CO38" i="184"/>
  <c r="CP38" i="184"/>
  <c r="CQ38" i="184"/>
  <c r="CR38" i="184"/>
  <c r="CS38" i="184"/>
  <c r="CT38" i="184"/>
  <c r="CU38" i="184"/>
  <c r="CV38" i="184"/>
  <c r="CW38" i="184"/>
  <c r="CX38" i="184"/>
  <c r="CY38" i="184"/>
  <c r="CZ38" i="184"/>
  <c r="DA38" i="184"/>
  <c r="DB38" i="184"/>
  <c r="DC38" i="184"/>
  <c r="DD38" i="184"/>
  <c r="DE38" i="184"/>
  <c r="DF38" i="184"/>
  <c r="DG38" i="184"/>
  <c r="DH38" i="184"/>
  <c r="DI38" i="184"/>
  <c r="DJ38" i="184"/>
  <c r="DK38" i="184"/>
  <c r="DL38" i="184"/>
  <c r="DM38" i="184"/>
  <c r="DN38" i="184"/>
  <c r="DO38" i="184"/>
  <c r="DP38" i="184"/>
  <c r="DQ38" i="184"/>
  <c r="DR38" i="184"/>
  <c r="DS38" i="184"/>
  <c r="DT38" i="184"/>
  <c r="DU38" i="184"/>
  <c r="DV38" i="184"/>
  <c r="DW38" i="184"/>
  <c r="DX38" i="184"/>
  <c r="DY38" i="184"/>
  <c r="DZ38" i="184"/>
  <c r="EA38" i="184"/>
  <c r="EB38" i="184"/>
  <c r="EC38" i="184"/>
  <c r="ED38" i="184"/>
  <c r="EE38" i="184"/>
  <c r="EF38" i="184"/>
  <c r="EG38" i="184"/>
  <c r="EH38" i="184"/>
  <c r="EI38" i="184"/>
  <c r="EJ38" i="184"/>
  <c r="EK38" i="184"/>
  <c r="EL38" i="184"/>
  <c r="EM38" i="184"/>
  <c r="EN38" i="184"/>
  <c r="EO38" i="184"/>
  <c r="EP38" i="184"/>
  <c r="EQ38" i="184"/>
  <c r="ER38" i="184"/>
  <c r="ES38" i="184"/>
  <c r="ET38" i="184"/>
  <c r="EU38" i="184"/>
  <c r="EV38" i="184"/>
  <c r="EW38" i="184"/>
  <c r="EX38" i="184"/>
  <c r="EY38" i="184"/>
  <c r="EZ38" i="184"/>
  <c r="FA38" i="184"/>
  <c r="FB38" i="184"/>
  <c r="FC38" i="184"/>
  <c r="FD38" i="184"/>
  <c r="FE38" i="184"/>
  <c r="FF38" i="184"/>
  <c r="FG38" i="184"/>
  <c r="FH38" i="184"/>
  <c r="FI38" i="184"/>
  <c r="FJ38" i="184"/>
  <c r="FK38" i="184"/>
  <c r="FL38" i="184"/>
  <c r="FM38" i="184"/>
  <c r="FN38" i="184"/>
  <c r="FO38" i="184"/>
  <c r="FP38" i="184"/>
  <c r="FQ38" i="184"/>
  <c r="FR38" i="184"/>
  <c r="FS38" i="184"/>
  <c r="FT38" i="184"/>
  <c r="FU38" i="184"/>
  <c r="FV38" i="184"/>
  <c r="FW38" i="184"/>
  <c r="FX38" i="184"/>
  <c r="FY38" i="184"/>
  <c r="FZ38" i="184"/>
  <c r="GA38" i="184"/>
  <c r="GB38" i="184"/>
  <c r="GC38" i="184"/>
  <c r="GD38" i="184"/>
  <c r="GE38" i="184"/>
  <c r="GF38" i="184"/>
  <c r="GG38" i="184"/>
  <c r="GH38" i="184"/>
  <c r="GI38" i="184"/>
  <c r="GJ38" i="184"/>
  <c r="GK38" i="184"/>
  <c r="GL38" i="184"/>
  <c r="GM38" i="184"/>
  <c r="GN38" i="184"/>
  <c r="GO38" i="184"/>
  <c r="GP38" i="184"/>
  <c r="GQ38" i="184"/>
  <c r="GR38" i="184"/>
  <c r="GS38" i="184"/>
  <c r="GT38" i="184"/>
  <c r="GU38" i="184"/>
  <c r="GV38" i="184"/>
  <c r="GW38" i="184"/>
  <c r="GX38" i="184"/>
  <c r="GY38" i="184"/>
  <c r="GZ38" i="184"/>
  <c r="HA38" i="184"/>
  <c r="HB38" i="184"/>
  <c r="HC38" i="184"/>
  <c r="HD38" i="184"/>
  <c r="HE38" i="184"/>
  <c r="HF38" i="184"/>
  <c r="HU38" i="184"/>
  <c r="HX38" i="184"/>
  <c r="HY38" i="184"/>
  <c r="HZ38" i="184"/>
  <c r="IA38" i="184"/>
  <c r="IB38" i="184"/>
  <c r="IC38" i="184"/>
  <c r="ID38" i="184"/>
  <c r="IE38" i="184"/>
  <c r="IF38" i="184"/>
  <c r="IG38" i="184"/>
  <c r="IH38" i="184"/>
  <c r="II38" i="184"/>
  <c r="IJ38" i="184"/>
  <c r="IK38" i="184"/>
  <c r="IL38" i="184"/>
  <c r="IM38" i="184"/>
  <c r="IN38" i="184"/>
  <c r="IO38" i="184"/>
  <c r="IP38" i="184"/>
  <c r="IQ38" i="184"/>
  <c r="IR38" i="184"/>
  <c r="IS38" i="184"/>
  <c r="IT38" i="184"/>
  <c r="IU38" i="184"/>
  <c r="IV38" i="184"/>
  <c r="A37" i="184"/>
  <c r="B37" i="184"/>
  <c r="C37" i="184"/>
  <c r="D37" i="184"/>
  <c r="E37" i="184"/>
  <c r="G37" i="184"/>
  <c r="H37" i="184"/>
  <c r="I37" i="184"/>
  <c r="J37" i="184"/>
  <c r="K37" i="184"/>
  <c r="L37" i="184"/>
  <c r="M37" i="184"/>
  <c r="N37" i="184"/>
  <c r="O37" i="184"/>
  <c r="P37" i="184"/>
  <c r="Q37" i="184"/>
  <c r="R37" i="184"/>
  <c r="S37" i="184"/>
  <c r="T37" i="184"/>
  <c r="U37" i="184"/>
  <c r="V37" i="184"/>
  <c r="W37" i="184"/>
  <c r="X37" i="184"/>
  <c r="Y37" i="184"/>
  <c r="Z37" i="184"/>
  <c r="AB37" i="184"/>
  <c r="AC37" i="184"/>
  <c r="AD37" i="184"/>
  <c r="AE37" i="184"/>
  <c r="AF37" i="184"/>
  <c r="AG37" i="184"/>
  <c r="AH37" i="184"/>
  <c r="AI37" i="184"/>
  <c r="AJ37" i="184"/>
  <c r="AK37" i="184"/>
  <c r="AL37" i="184"/>
  <c r="AM37" i="184"/>
  <c r="AN37" i="184"/>
  <c r="AO37" i="184"/>
  <c r="AP37" i="184"/>
  <c r="AQ37" i="184"/>
  <c r="AR37" i="184"/>
  <c r="AS37" i="184"/>
  <c r="AT37" i="184"/>
  <c r="AU37" i="184"/>
  <c r="AV37" i="184"/>
  <c r="AW37" i="184"/>
  <c r="AX37" i="184"/>
  <c r="AY37" i="184"/>
  <c r="AZ37" i="184"/>
  <c r="BA37" i="184"/>
  <c r="BB37" i="184"/>
  <c r="BC37" i="184"/>
  <c r="BD37" i="184"/>
  <c r="BE37" i="184"/>
  <c r="BF37" i="184"/>
  <c r="BG37" i="184"/>
  <c r="BH37" i="184"/>
  <c r="BI37" i="184"/>
  <c r="BJ37" i="184"/>
  <c r="BK37" i="184"/>
  <c r="BL37" i="184"/>
  <c r="BM37" i="184"/>
  <c r="BN37" i="184"/>
  <c r="BO37" i="184"/>
  <c r="BP37" i="184"/>
  <c r="BQ37" i="184"/>
  <c r="BR37" i="184"/>
  <c r="BS37" i="184"/>
  <c r="BT37" i="184"/>
  <c r="BU37" i="184"/>
  <c r="BV37" i="184"/>
  <c r="BW37" i="184"/>
  <c r="BX37" i="184"/>
  <c r="BY37" i="184"/>
  <c r="BZ37" i="184"/>
  <c r="CA37" i="184"/>
  <c r="CB37" i="184"/>
  <c r="CC37" i="184"/>
  <c r="CD37" i="184"/>
  <c r="CE37" i="184"/>
  <c r="CF37" i="184"/>
  <c r="CG37" i="184"/>
  <c r="CH37" i="184"/>
  <c r="CI37" i="184"/>
  <c r="CJ37" i="184"/>
  <c r="CK37" i="184"/>
  <c r="CL37" i="184"/>
  <c r="CM37" i="184"/>
  <c r="CN37" i="184"/>
  <c r="CO37" i="184"/>
  <c r="CP37" i="184"/>
  <c r="CQ37" i="184"/>
  <c r="CR37" i="184"/>
  <c r="CS37" i="184"/>
  <c r="CT37" i="184"/>
  <c r="CU37" i="184"/>
  <c r="CV37" i="184"/>
  <c r="CW37" i="184"/>
  <c r="CX37" i="184"/>
  <c r="CY37" i="184"/>
  <c r="CZ37" i="184"/>
  <c r="DA37" i="184"/>
  <c r="DB37" i="184"/>
  <c r="DC37" i="184"/>
  <c r="DD37" i="184"/>
  <c r="DE37" i="184"/>
  <c r="DF37" i="184"/>
  <c r="DG37" i="184"/>
  <c r="DH37" i="184"/>
  <c r="DI37" i="184"/>
  <c r="DJ37" i="184"/>
  <c r="DK37" i="184"/>
  <c r="DL37" i="184"/>
  <c r="DM37" i="184"/>
  <c r="DN37" i="184"/>
  <c r="DO37" i="184"/>
  <c r="DP37" i="184"/>
  <c r="DQ37" i="184"/>
  <c r="DR37" i="184"/>
  <c r="DS37" i="184"/>
  <c r="DT37" i="184"/>
  <c r="DU37" i="184"/>
  <c r="DV37" i="184"/>
  <c r="DW37" i="184"/>
  <c r="DX37" i="184"/>
  <c r="DY37" i="184"/>
  <c r="DZ37" i="184"/>
  <c r="EA37" i="184"/>
  <c r="EB37" i="184"/>
  <c r="EC37" i="184"/>
  <c r="ED37" i="184"/>
  <c r="EE37" i="184"/>
  <c r="EF37" i="184"/>
  <c r="EG37" i="184"/>
  <c r="EH37" i="184"/>
  <c r="EI37" i="184"/>
  <c r="EJ37" i="184"/>
  <c r="EK37" i="184"/>
  <c r="EL37" i="184"/>
  <c r="EM37" i="184"/>
  <c r="EN37" i="184"/>
  <c r="EO37" i="184"/>
  <c r="EP37" i="184"/>
  <c r="EQ37" i="184"/>
  <c r="ER37" i="184"/>
  <c r="ES37" i="184"/>
  <c r="ET37" i="184"/>
  <c r="EU37" i="184"/>
  <c r="EV37" i="184"/>
  <c r="EW37" i="184"/>
  <c r="EX37" i="184"/>
  <c r="EY37" i="184"/>
  <c r="EZ37" i="184"/>
  <c r="FA37" i="184"/>
  <c r="FB37" i="184"/>
  <c r="FC37" i="184"/>
  <c r="FD37" i="184"/>
  <c r="FE37" i="184"/>
  <c r="FF37" i="184"/>
  <c r="FG37" i="184"/>
  <c r="FH37" i="184"/>
  <c r="FI37" i="184"/>
  <c r="FJ37" i="184"/>
  <c r="FK37" i="184"/>
  <c r="FL37" i="184"/>
  <c r="FM37" i="184"/>
  <c r="FN37" i="184"/>
  <c r="FO37" i="184"/>
  <c r="FP37" i="184"/>
  <c r="FQ37" i="184"/>
  <c r="FR37" i="184"/>
  <c r="FS37" i="184"/>
  <c r="FT37" i="184"/>
  <c r="FU37" i="184"/>
  <c r="FV37" i="184"/>
  <c r="FW37" i="184"/>
  <c r="FX37" i="184"/>
  <c r="FY37" i="184"/>
  <c r="FZ37" i="184"/>
  <c r="GA37" i="184"/>
  <c r="GB37" i="184"/>
  <c r="GC37" i="184"/>
  <c r="GD37" i="184"/>
  <c r="GE37" i="184"/>
  <c r="GF37" i="184"/>
  <c r="GG37" i="184"/>
  <c r="GH37" i="184"/>
  <c r="GI37" i="184"/>
  <c r="GJ37" i="184"/>
  <c r="GK37" i="184"/>
  <c r="GL37" i="184"/>
  <c r="GM37" i="184"/>
  <c r="GN37" i="184"/>
  <c r="GO37" i="184"/>
  <c r="GP37" i="184"/>
  <c r="GQ37" i="184"/>
  <c r="GR37" i="184"/>
  <c r="GS37" i="184"/>
  <c r="GT37" i="184"/>
  <c r="GU37" i="184"/>
  <c r="GV37" i="184"/>
  <c r="GW37" i="184"/>
  <c r="GX37" i="184"/>
  <c r="GY37" i="184"/>
  <c r="GZ37" i="184"/>
  <c r="HA37" i="184"/>
  <c r="HB37" i="184"/>
  <c r="HC37" i="184"/>
  <c r="HD37" i="184"/>
  <c r="HE37" i="184"/>
  <c r="HF37" i="184"/>
  <c r="HG37" i="184"/>
  <c r="HH37" i="184"/>
  <c r="HI37" i="184"/>
  <c r="HJ37" i="184"/>
  <c r="HK37" i="184"/>
  <c r="HL37" i="184"/>
  <c r="HM37" i="184"/>
  <c r="HN37" i="184"/>
  <c r="HO37" i="184"/>
  <c r="HP37" i="184"/>
  <c r="HQ37" i="184"/>
  <c r="HR37" i="184"/>
  <c r="HS37" i="184"/>
  <c r="HT37" i="184"/>
  <c r="HU37" i="184"/>
  <c r="HV37" i="184"/>
  <c r="HW37" i="184"/>
  <c r="HX37" i="184"/>
  <c r="HY37" i="184"/>
  <c r="HZ37" i="184"/>
  <c r="IA37" i="184"/>
  <c r="IB37" i="184"/>
  <c r="IC37" i="184"/>
  <c r="ID37" i="184"/>
  <c r="IE37" i="184"/>
  <c r="IF37" i="184"/>
  <c r="IG37" i="184"/>
  <c r="IH37" i="184"/>
  <c r="II37" i="184"/>
  <c r="IJ37" i="184"/>
  <c r="IK37" i="184"/>
  <c r="IL37" i="184"/>
  <c r="IM37" i="184"/>
  <c r="IN37" i="184"/>
  <c r="IO37" i="184"/>
  <c r="IP37" i="184"/>
  <c r="IQ37" i="184"/>
  <c r="IR37" i="184"/>
  <c r="IS37" i="184"/>
  <c r="IT37" i="184"/>
  <c r="IU37" i="184"/>
  <c r="IV37" i="184"/>
  <c r="A36" i="184"/>
  <c r="B36" i="184"/>
  <c r="C36" i="184"/>
  <c r="D36" i="184"/>
  <c r="E36" i="184"/>
  <c r="F36" i="184"/>
  <c r="G36" i="184"/>
  <c r="H36" i="184"/>
  <c r="I36" i="184"/>
  <c r="J36" i="184"/>
  <c r="K36" i="184"/>
  <c r="L36" i="184"/>
  <c r="M36" i="184"/>
  <c r="N36" i="184"/>
  <c r="O36" i="184"/>
  <c r="P36" i="184"/>
  <c r="Q36" i="184"/>
  <c r="R36" i="184"/>
  <c r="S36" i="184"/>
  <c r="T36" i="184"/>
  <c r="U36" i="184"/>
  <c r="V36" i="184"/>
  <c r="W36" i="184"/>
  <c r="X36" i="184"/>
  <c r="Y36" i="184"/>
  <c r="Z36" i="184"/>
  <c r="AA36" i="184"/>
  <c r="AB36" i="184"/>
  <c r="AC36" i="184"/>
  <c r="AD36" i="184"/>
  <c r="AE36" i="184"/>
  <c r="AF36" i="184"/>
  <c r="AG36" i="184"/>
  <c r="AH36" i="184"/>
  <c r="AI36" i="184"/>
  <c r="AJ36" i="184"/>
  <c r="AK36" i="184"/>
  <c r="AL36" i="184"/>
  <c r="AM36" i="184"/>
  <c r="AN36" i="184"/>
  <c r="AO36" i="184"/>
  <c r="AP36" i="184"/>
  <c r="AQ36" i="184"/>
  <c r="AR36" i="184"/>
  <c r="AS36" i="184"/>
  <c r="AT36" i="184"/>
  <c r="AU36" i="184"/>
  <c r="AV36" i="184"/>
  <c r="AW36" i="184"/>
  <c r="AX36" i="184"/>
  <c r="AY36" i="184"/>
  <c r="AZ36" i="184"/>
  <c r="BA36" i="184"/>
  <c r="BB36" i="184"/>
  <c r="BC36" i="184"/>
  <c r="BD36" i="184"/>
  <c r="BE36" i="184"/>
  <c r="BF36" i="184"/>
  <c r="BG36" i="184"/>
  <c r="BH36" i="184"/>
  <c r="BI36" i="184"/>
  <c r="BJ36" i="184"/>
  <c r="BK36" i="184"/>
  <c r="BL36" i="184"/>
  <c r="BM36" i="184"/>
  <c r="BN36" i="184"/>
  <c r="BO36" i="184"/>
  <c r="BP36" i="184"/>
  <c r="BQ36" i="184"/>
  <c r="BR36" i="184"/>
  <c r="BS36" i="184"/>
  <c r="BT36" i="184"/>
  <c r="BU36" i="184"/>
  <c r="BV36" i="184"/>
  <c r="BW36" i="184"/>
  <c r="BX36" i="184"/>
  <c r="BY36" i="184"/>
  <c r="BZ36" i="184"/>
  <c r="CA36" i="184"/>
  <c r="CB36" i="184"/>
  <c r="CC36" i="184"/>
  <c r="CD36" i="184"/>
  <c r="CE36" i="184"/>
  <c r="CF36" i="184"/>
  <c r="CG36" i="184"/>
  <c r="CH36" i="184"/>
  <c r="CI36" i="184"/>
  <c r="CJ36" i="184"/>
  <c r="CK36" i="184"/>
  <c r="CL36" i="184"/>
  <c r="CM36" i="184"/>
  <c r="CN36" i="184"/>
  <c r="CO36" i="184"/>
  <c r="CP36" i="184"/>
  <c r="CQ36" i="184"/>
  <c r="CR36" i="184"/>
  <c r="CS36" i="184"/>
  <c r="CT36" i="184"/>
  <c r="CU36" i="184"/>
  <c r="CV36" i="184"/>
  <c r="CW36" i="184"/>
  <c r="CX36" i="184"/>
  <c r="CY36" i="184"/>
  <c r="CZ36" i="184"/>
  <c r="DA36" i="184"/>
  <c r="DB36" i="184"/>
  <c r="DC36" i="184"/>
  <c r="DD36" i="184"/>
  <c r="DE36" i="184"/>
  <c r="DF36" i="184"/>
  <c r="DG36" i="184"/>
  <c r="DH36" i="184"/>
  <c r="DI36" i="184"/>
  <c r="DJ36" i="184"/>
  <c r="DK36" i="184"/>
  <c r="DL36" i="184"/>
  <c r="DM36" i="184"/>
  <c r="DN36" i="184"/>
  <c r="DO36" i="184"/>
  <c r="DP36" i="184"/>
  <c r="DQ36" i="184"/>
  <c r="DR36" i="184"/>
  <c r="DS36" i="184"/>
  <c r="DT36" i="184"/>
  <c r="DU36" i="184"/>
  <c r="DV36" i="184"/>
  <c r="DW36" i="184"/>
  <c r="DX36" i="184"/>
  <c r="DY36" i="184"/>
  <c r="DZ36" i="184"/>
  <c r="EA36" i="184"/>
  <c r="EB36" i="184"/>
  <c r="EC36" i="184"/>
  <c r="ED36" i="184"/>
  <c r="EE36" i="184"/>
  <c r="EF36" i="184"/>
  <c r="EG36" i="184"/>
  <c r="EH36" i="184"/>
  <c r="EI36" i="184"/>
  <c r="EJ36" i="184"/>
  <c r="EK36" i="184"/>
  <c r="EL36" i="184"/>
  <c r="EM36" i="184"/>
  <c r="EN36" i="184"/>
  <c r="EO36" i="184"/>
  <c r="EP36" i="184"/>
  <c r="EQ36" i="184"/>
  <c r="ER36" i="184"/>
  <c r="ES36" i="184"/>
  <c r="ET36" i="184"/>
  <c r="EU36" i="184"/>
  <c r="EV36" i="184"/>
  <c r="EW36" i="184"/>
  <c r="EX36" i="184"/>
  <c r="EY36" i="184"/>
  <c r="EZ36" i="184"/>
  <c r="FA36" i="184"/>
  <c r="FB36" i="184"/>
  <c r="FC36" i="184"/>
  <c r="FD36" i="184"/>
  <c r="FE36" i="184"/>
  <c r="FF36" i="184"/>
  <c r="FG36" i="184"/>
  <c r="FH36" i="184"/>
  <c r="FI36" i="184"/>
  <c r="FJ36" i="184"/>
  <c r="FK36" i="184"/>
  <c r="FL36" i="184"/>
  <c r="FM36" i="184"/>
  <c r="FN36" i="184"/>
  <c r="FO36" i="184"/>
  <c r="FP36" i="184"/>
  <c r="FQ36" i="184"/>
  <c r="FR36" i="184"/>
  <c r="FS36" i="184"/>
  <c r="FT36" i="184"/>
  <c r="FU36" i="184"/>
  <c r="FV36" i="184"/>
  <c r="FW36" i="184"/>
  <c r="FX36" i="184"/>
  <c r="FY36" i="184"/>
  <c r="FZ36" i="184"/>
  <c r="GA36" i="184"/>
  <c r="GB36" i="184"/>
  <c r="GC36" i="184"/>
  <c r="GD36" i="184"/>
  <c r="GE36" i="184"/>
  <c r="GF36" i="184"/>
  <c r="GG36" i="184"/>
  <c r="GH36" i="184"/>
  <c r="GI36" i="184"/>
  <c r="GJ36" i="184"/>
  <c r="GK36" i="184"/>
  <c r="GL36" i="184"/>
  <c r="GM36" i="184"/>
  <c r="GN36" i="184"/>
  <c r="GO36" i="184"/>
  <c r="GP36" i="184"/>
  <c r="GQ36" i="184"/>
  <c r="GR36" i="184"/>
  <c r="GS36" i="184"/>
  <c r="GT36" i="184"/>
  <c r="GU36" i="184"/>
  <c r="GV36" i="184"/>
  <c r="GW36" i="184"/>
  <c r="GX36" i="184"/>
  <c r="GY36" i="184"/>
  <c r="GZ36" i="184"/>
  <c r="HA36" i="184"/>
  <c r="HB36" i="184"/>
  <c r="HC36" i="184"/>
  <c r="HD36" i="184"/>
  <c r="HE36" i="184"/>
  <c r="HF36" i="184"/>
  <c r="HG36" i="184"/>
  <c r="HH36" i="184"/>
  <c r="HI36" i="184"/>
  <c r="HJ36" i="184"/>
  <c r="HK36" i="184"/>
  <c r="HL36" i="184"/>
  <c r="HM36" i="184"/>
  <c r="HN36" i="184"/>
  <c r="HO36" i="184"/>
  <c r="HP36" i="184"/>
  <c r="HQ36" i="184"/>
  <c r="HR36" i="184"/>
  <c r="HS36" i="184"/>
  <c r="HT36" i="184"/>
  <c r="HU36" i="184"/>
  <c r="HV36" i="184"/>
  <c r="HW36" i="184"/>
  <c r="HX36" i="184"/>
  <c r="HY36" i="184"/>
  <c r="HZ36" i="184"/>
  <c r="IA36" i="184"/>
  <c r="IB36" i="184"/>
  <c r="IC36" i="184"/>
  <c r="ID36" i="184"/>
  <c r="IE36" i="184"/>
  <c r="IF36" i="184"/>
  <c r="IG36" i="184"/>
  <c r="IH36" i="184"/>
  <c r="II36" i="184"/>
  <c r="IJ36" i="184"/>
  <c r="IK36" i="184"/>
  <c r="IL36" i="184"/>
  <c r="IM36" i="184"/>
  <c r="IN36" i="184"/>
  <c r="IO36" i="184"/>
  <c r="IP36" i="184"/>
  <c r="IQ36" i="184"/>
  <c r="IR36" i="184"/>
  <c r="IS36" i="184"/>
  <c r="IT36" i="184"/>
  <c r="IU36" i="184"/>
  <c r="IV36" i="184"/>
  <c r="A35" i="184"/>
  <c r="B35" i="184"/>
  <c r="C35" i="184"/>
  <c r="D35" i="184"/>
  <c r="E35" i="184"/>
  <c r="F35" i="184"/>
  <c r="G35" i="184"/>
  <c r="H35" i="184"/>
  <c r="I35" i="184"/>
  <c r="J35" i="184"/>
  <c r="K35" i="184"/>
  <c r="L35" i="184"/>
  <c r="M35" i="184"/>
  <c r="N35" i="184"/>
  <c r="O35" i="184"/>
  <c r="P35" i="184"/>
  <c r="Q35" i="184"/>
  <c r="R35" i="184"/>
  <c r="S35" i="184"/>
  <c r="T35" i="184"/>
  <c r="U35" i="184"/>
  <c r="V35" i="184"/>
  <c r="W35" i="184"/>
  <c r="X35" i="184"/>
  <c r="Y35" i="184"/>
  <c r="Z35" i="184"/>
  <c r="AA35" i="184"/>
  <c r="AB35" i="184"/>
  <c r="AC35" i="184"/>
  <c r="AD35" i="184"/>
  <c r="AE35" i="184"/>
  <c r="AF35" i="184"/>
  <c r="AG35" i="184"/>
  <c r="AH35" i="184"/>
  <c r="AI35" i="184"/>
  <c r="AJ35" i="184"/>
  <c r="AK35" i="184"/>
  <c r="AL35" i="184"/>
  <c r="AM35" i="184"/>
  <c r="AN35" i="184"/>
  <c r="AO35" i="184"/>
  <c r="AP35" i="184"/>
  <c r="AQ35" i="184"/>
  <c r="AR35" i="184"/>
  <c r="AS35" i="184"/>
  <c r="AT35" i="184"/>
  <c r="AU35" i="184"/>
  <c r="AV35" i="184"/>
  <c r="AW35" i="184"/>
  <c r="AX35" i="184"/>
  <c r="AY35" i="184"/>
  <c r="AZ35" i="184"/>
  <c r="BA35" i="184"/>
  <c r="BB35" i="184"/>
  <c r="BC35" i="184"/>
  <c r="BD35" i="184"/>
  <c r="BE35" i="184"/>
  <c r="BF35" i="184"/>
  <c r="BG35" i="184"/>
  <c r="BH35" i="184"/>
  <c r="BI35" i="184"/>
  <c r="BJ35" i="184"/>
  <c r="BK35" i="184"/>
  <c r="BL35" i="184"/>
  <c r="BM35" i="184"/>
  <c r="BN35" i="184"/>
  <c r="BO35" i="184"/>
  <c r="BP35" i="184"/>
  <c r="BQ35" i="184"/>
  <c r="BR35" i="184"/>
  <c r="BS35" i="184"/>
  <c r="BT35" i="184"/>
  <c r="BU35" i="184"/>
  <c r="BV35" i="184"/>
  <c r="BW35" i="184"/>
  <c r="BX35" i="184"/>
  <c r="BY35" i="184"/>
  <c r="BZ35" i="184"/>
  <c r="CA35" i="184"/>
  <c r="CB35" i="184"/>
  <c r="CC35" i="184"/>
  <c r="CD35" i="184"/>
  <c r="CE35" i="184"/>
  <c r="CF35" i="184"/>
  <c r="CG35" i="184"/>
  <c r="CH35" i="184"/>
  <c r="CI35" i="184"/>
  <c r="CJ35" i="184"/>
  <c r="CK35" i="184"/>
  <c r="CL35" i="184"/>
  <c r="CM35" i="184"/>
  <c r="CN35" i="184"/>
  <c r="CO35" i="184"/>
  <c r="CP35" i="184"/>
  <c r="CQ35" i="184"/>
  <c r="CR35" i="184"/>
  <c r="CS35" i="184"/>
  <c r="CT35" i="184"/>
  <c r="CU35" i="184"/>
  <c r="CV35" i="184"/>
  <c r="CW35" i="184"/>
  <c r="CX35" i="184"/>
  <c r="CY35" i="184"/>
  <c r="CZ35" i="184"/>
  <c r="DA35" i="184"/>
  <c r="DB35" i="184"/>
  <c r="DC35" i="184"/>
  <c r="DD35" i="184"/>
  <c r="DE35" i="184"/>
  <c r="DF35" i="184"/>
  <c r="DG35" i="184"/>
  <c r="DH35" i="184"/>
  <c r="DI35" i="184"/>
  <c r="DJ35" i="184"/>
  <c r="DK35" i="184"/>
  <c r="DL35" i="184"/>
  <c r="DM35" i="184"/>
  <c r="DN35" i="184"/>
  <c r="DO35" i="184"/>
  <c r="DP35" i="184"/>
  <c r="DQ35" i="184"/>
  <c r="DR35" i="184"/>
  <c r="DS35" i="184"/>
  <c r="DT35" i="184"/>
  <c r="DU35" i="184"/>
  <c r="DV35" i="184"/>
  <c r="DW35" i="184"/>
  <c r="DX35" i="184"/>
  <c r="DY35" i="184"/>
  <c r="DZ35" i="184"/>
  <c r="EA35" i="184"/>
  <c r="EB35" i="184"/>
  <c r="EC35" i="184"/>
  <c r="ED35" i="184"/>
  <c r="EE35" i="184"/>
  <c r="EF35" i="184"/>
  <c r="EG35" i="184"/>
  <c r="EH35" i="184"/>
  <c r="EI35" i="184"/>
  <c r="EJ35" i="184"/>
  <c r="EK35" i="184"/>
  <c r="EL35" i="184"/>
  <c r="EM35" i="184"/>
  <c r="EN35" i="184"/>
  <c r="EO35" i="184"/>
  <c r="EP35" i="184"/>
  <c r="EQ35" i="184"/>
  <c r="ER35" i="184"/>
  <c r="ES35" i="184"/>
  <c r="ET35" i="184"/>
  <c r="EU35" i="184"/>
  <c r="EV35" i="184"/>
  <c r="EW35" i="184"/>
  <c r="EX35" i="184"/>
  <c r="EY35" i="184"/>
  <c r="EZ35" i="184"/>
  <c r="FA35" i="184"/>
  <c r="FB35" i="184"/>
  <c r="FC35" i="184"/>
  <c r="FD35" i="184"/>
  <c r="FE35" i="184"/>
  <c r="FF35" i="184"/>
  <c r="FG35" i="184"/>
  <c r="FH35" i="184"/>
  <c r="FI35" i="184"/>
  <c r="FJ35" i="184"/>
  <c r="FK35" i="184"/>
  <c r="FL35" i="184"/>
  <c r="FM35" i="184"/>
  <c r="FN35" i="184"/>
  <c r="FO35" i="184"/>
  <c r="FP35" i="184"/>
  <c r="FQ35" i="184"/>
  <c r="FR35" i="184"/>
  <c r="FS35" i="184"/>
  <c r="FT35" i="184"/>
  <c r="FU35" i="184"/>
  <c r="FV35" i="184"/>
  <c r="FW35" i="184"/>
  <c r="FX35" i="184"/>
  <c r="FY35" i="184"/>
  <c r="FZ35" i="184"/>
  <c r="GA35" i="184"/>
  <c r="GB35" i="184"/>
  <c r="GC35" i="184"/>
  <c r="GD35" i="184"/>
  <c r="GE35" i="184"/>
  <c r="GF35" i="184"/>
  <c r="GG35" i="184"/>
  <c r="GH35" i="184"/>
  <c r="GI35" i="184"/>
  <c r="GJ35" i="184"/>
  <c r="GK35" i="184"/>
  <c r="GL35" i="184"/>
  <c r="GM35" i="184"/>
  <c r="GN35" i="184"/>
  <c r="GO35" i="184"/>
  <c r="GP35" i="184"/>
  <c r="GQ35" i="184"/>
  <c r="GR35" i="184"/>
  <c r="GS35" i="184"/>
  <c r="GT35" i="184"/>
  <c r="GU35" i="184"/>
  <c r="GV35" i="184"/>
  <c r="GW35" i="184"/>
  <c r="GX35" i="184"/>
  <c r="GY35" i="184"/>
  <c r="GZ35" i="184"/>
  <c r="HA35" i="184"/>
  <c r="HB35" i="184"/>
  <c r="HC35" i="184"/>
  <c r="HD35" i="184"/>
  <c r="HE35" i="184"/>
  <c r="HF35" i="184"/>
  <c r="HG35" i="184"/>
  <c r="HH35" i="184"/>
  <c r="HI35" i="184"/>
  <c r="HJ35" i="184"/>
  <c r="HK35" i="184"/>
  <c r="HL35" i="184"/>
  <c r="HM35" i="184"/>
  <c r="HN35" i="184"/>
  <c r="HO35" i="184"/>
  <c r="HP35" i="184"/>
  <c r="HQ35" i="184"/>
  <c r="HR35" i="184"/>
  <c r="HS35" i="184"/>
  <c r="HT35" i="184"/>
  <c r="HU35" i="184"/>
  <c r="HV35" i="184"/>
  <c r="HW35" i="184"/>
  <c r="HX35" i="184"/>
  <c r="HY35" i="184"/>
  <c r="HZ35" i="184"/>
  <c r="IA35" i="184"/>
  <c r="IB35" i="184"/>
  <c r="IC35" i="184"/>
  <c r="ID35" i="184"/>
  <c r="IE35" i="184"/>
  <c r="IF35" i="184"/>
  <c r="IG35" i="184"/>
  <c r="IH35" i="184"/>
  <c r="II35" i="184"/>
  <c r="IJ35" i="184"/>
  <c r="IK35" i="184"/>
  <c r="IL35" i="184"/>
  <c r="IM35" i="184"/>
  <c r="IN35" i="184"/>
  <c r="IO35" i="184"/>
  <c r="IP35" i="184"/>
  <c r="IQ35" i="184"/>
  <c r="IR35" i="184"/>
  <c r="IS35" i="184"/>
  <c r="IT35" i="184"/>
  <c r="IU35" i="184"/>
  <c r="IV35" i="184"/>
  <c r="A34" i="184"/>
  <c r="B34" i="184"/>
  <c r="C34" i="184"/>
  <c r="D34" i="184"/>
  <c r="E34" i="184"/>
  <c r="F34" i="184"/>
  <c r="G34" i="184"/>
  <c r="H34" i="184"/>
  <c r="I34" i="184"/>
  <c r="J34" i="184"/>
  <c r="K34" i="184"/>
  <c r="L34" i="184"/>
  <c r="M34" i="184"/>
  <c r="N34" i="184"/>
  <c r="O34" i="184"/>
  <c r="P34" i="184"/>
  <c r="Q34" i="184"/>
  <c r="R34" i="184"/>
  <c r="S34" i="184"/>
  <c r="T34" i="184"/>
  <c r="U34" i="184"/>
  <c r="V34" i="184"/>
  <c r="W34" i="184"/>
  <c r="X34" i="184"/>
  <c r="Y34" i="184"/>
  <c r="Z34" i="184"/>
  <c r="AA34" i="184"/>
  <c r="AB34" i="184"/>
  <c r="AC34" i="184"/>
  <c r="AD34" i="184"/>
  <c r="AE34" i="184"/>
  <c r="AF34" i="184"/>
  <c r="AG34" i="184"/>
  <c r="AH34" i="184"/>
  <c r="AI34" i="184"/>
  <c r="AJ34" i="184"/>
  <c r="AK34" i="184"/>
  <c r="AL34" i="184"/>
  <c r="AM34" i="184"/>
  <c r="AN34" i="184"/>
  <c r="AO34" i="184"/>
  <c r="AP34" i="184"/>
  <c r="AQ34" i="184"/>
  <c r="AR34" i="184"/>
  <c r="AS34" i="184"/>
  <c r="AT34" i="184"/>
  <c r="AU34" i="184"/>
  <c r="AV34" i="184"/>
  <c r="AW34" i="184"/>
  <c r="AX34" i="184"/>
  <c r="AY34" i="184"/>
  <c r="AZ34" i="184"/>
  <c r="BA34" i="184"/>
  <c r="BB34" i="184"/>
  <c r="BC34" i="184"/>
  <c r="BD34" i="184"/>
  <c r="BE34" i="184"/>
  <c r="BF34" i="184"/>
  <c r="BG34" i="184"/>
  <c r="BH34" i="184"/>
  <c r="BI34" i="184"/>
  <c r="BJ34" i="184"/>
  <c r="BK34" i="184"/>
  <c r="BL34" i="184"/>
  <c r="BM34" i="184"/>
  <c r="BN34" i="184"/>
  <c r="BO34" i="184"/>
  <c r="BP34" i="184"/>
  <c r="BQ34" i="184"/>
  <c r="BR34" i="184"/>
  <c r="BS34" i="184"/>
  <c r="BT34" i="184"/>
  <c r="BU34" i="184"/>
  <c r="BV34" i="184"/>
  <c r="BW34" i="184"/>
  <c r="BX34" i="184"/>
  <c r="BY34" i="184"/>
  <c r="BZ34" i="184"/>
  <c r="CA34" i="184"/>
  <c r="CB34" i="184"/>
  <c r="CC34" i="184"/>
  <c r="CD34" i="184"/>
  <c r="CE34" i="184"/>
  <c r="CF34" i="184"/>
  <c r="CG34" i="184"/>
  <c r="CH34" i="184"/>
  <c r="CI34" i="184"/>
  <c r="CJ34" i="184"/>
  <c r="CK34" i="184"/>
  <c r="CL34" i="184"/>
  <c r="CM34" i="184"/>
  <c r="CN34" i="184"/>
  <c r="CO34" i="184"/>
  <c r="CP34" i="184"/>
  <c r="CQ34" i="184"/>
  <c r="CR34" i="184"/>
  <c r="CS34" i="184"/>
  <c r="CT34" i="184"/>
  <c r="CU34" i="184"/>
  <c r="CV34" i="184"/>
  <c r="CW34" i="184"/>
  <c r="CX34" i="184"/>
  <c r="CY34" i="184"/>
  <c r="CZ34" i="184"/>
  <c r="DA34" i="184"/>
  <c r="DB34" i="184"/>
  <c r="DC34" i="184"/>
  <c r="DD34" i="184"/>
  <c r="DE34" i="184"/>
  <c r="DF34" i="184"/>
  <c r="DG34" i="184"/>
  <c r="DH34" i="184"/>
  <c r="DI34" i="184"/>
  <c r="DJ34" i="184"/>
  <c r="DK34" i="184"/>
  <c r="DL34" i="184"/>
  <c r="DM34" i="184"/>
  <c r="DN34" i="184"/>
  <c r="DO34" i="184"/>
  <c r="DP34" i="184"/>
  <c r="DQ34" i="184"/>
  <c r="DR34" i="184"/>
  <c r="DS34" i="184"/>
  <c r="DT34" i="184"/>
  <c r="DU34" i="184"/>
  <c r="DV34" i="184"/>
  <c r="DW34" i="184"/>
  <c r="DX34" i="184"/>
  <c r="DY34" i="184"/>
  <c r="DZ34" i="184"/>
  <c r="EA34" i="184"/>
  <c r="EB34" i="184"/>
  <c r="EC34" i="184"/>
  <c r="ED34" i="184"/>
  <c r="EE34" i="184"/>
  <c r="EF34" i="184"/>
  <c r="EG34" i="184"/>
  <c r="EH34" i="184"/>
  <c r="EI34" i="184"/>
  <c r="EJ34" i="184"/>
  <c r="EK34" i="184"/>
  <c r="EL34" i="184"/>
  <c r="EM34" i="184"/>
  <c r="EN34" i="184"/>
  <c r="EO34" i="184"/>
  <c r="EP34" i="184"/>
  <c r="EQ34" i="184"/>
  <c r="ES34" i="184"/>
  <c r="ET34" i="184"/>
  <c r="EU34" i="184"/>
  <c r="EW34" i="184"/>
  <c r="EX34" i="184"/>
  <c r="EY34" i="184"/>
  <c r="FA34" i="184"/>
  <c r="FB34" i="184"/>
  <c r="FC34" i="184"/>
  <c r="FE34" i="184"/>
  <c r="FF34" i="184"/>
  <c r="FG34" i="184"/>
  <c r="FH34" i="184"/>
  <c r="FI34" i="184"/>
  <c r="FJ34" i="184"/>
  <c r="FK34" i="184"/>
  <c r="FL34" i="184"/>
  <c r="FM34" i="184"/>
  <c r="FN34" i="184"/>
  <c r="FO34" i="184"/>
  <c r="FP34" i="184"/>
  <c r="FQ34" i="184"/>
  <c r="FR34" i="184"/>
  <c r="FS34" i="184"/>
  <c r="FT34" i="184"/>
  <c r="FU34" i="184"/>
  <c r="FV34" i="184"/>
  <c r="FW34" i="184"/>
  <c r="FX34" i="184"/>
  <c r="FY34" i="184"/>
  <c r="FZ34" i="184"/>
  <c r="GA34" i="184"/>
  <c r="GB34" i="184"/>
  <c r="GC34" i="184"/>
  <c r="GD34" i="184"/>
  <c r="GE34" i="184"/>
  <c r="GF34" i="184"/>
  <c r="GG34" i="184"/>
  <c r="GH34" i="184"/>
  <c r="GI34" i="184"/>
  <c r="GJ34" i="184"/>
  <c r="GK34" i="184"/>
  <c r="GL34" i="184"/>
  <c r="GM34" i="184"/>
  <c r="GN34" i="184"/>
  <c r="GO34" i="184"/>
  <c r="GP34" i="184"/>
  <c r="GQ34" i="184"/>
  <c r="GR34" i="184"/>
  <c r="GS34" i="184"/>
  <c r="GT34" i="184"/>
  <c r="GU34" i="184"/>
  <c r="GV34" i="184"/>
  <c r="GW34" i="184"/>
  <c r="GX34" i="184"/>
  <c r="GY34" i="184"/>
  <c r="GZ34" i="184"/>
  <c r="HA34" i="184"/>
  <c r="HB34" i="184"/>
  <c r="HC34" i="184"/>
  <c r="HD34" i="184"/>
  <c r="HE34" i="184"/>
  <c r="HF34" i="184"/>
  <c r="HG34" i="184"/>
  <c r="HH34" i="184"/>
  <c r="HI34" i="184"/>
  <c r="HJ34" i="184"/>
  <c r="HK34" i="184"/>
  <c r="HL34" i="184"/>
  <c r="HM34" i="184"/>
  <c r="HN34" i="184"/>
  <c r="HO34" i="184"/>
  <c r="HP34" i="184"/>
  <c r="HQ34" i="184"/>
  <c r="HR34" i="184"/>
  <c r="HS34" i="184"/>
  <c r="HT34" i="184"/>
  <c r="HU34" i="184"/>
  <c r="HV34" i="184"/>
  <c r="HW34" i="184"/>
  <c r="HX34" i="184"/>
  <c r="HY34" i="184"/>
  <c r="HZ34" i="184"/>
  <c r="IA34" i="184"/>
  <c r="IB34" i="184"/>
  <c r="IC34" i="184"/>
  <c r="ID34" i="184"/>
  <c r="IE34" i="184"/>
  <c r="IF34" i="184"/>
  <c r="IG34" i="184"/>
  <c r="IH34" i="184"/>
  <c r="II34" i="184"/>
  <c r="IJ34" i="184"/>
  <c r="IK34" i="184"/>
  <c r="IL34" i="184"/>
  <c r="IM34" i="184"/>
  <c r="IN34" i="184"/>
  <c r="IO34" i="184"/>
  <c r="IP34" i="184"/>
  <c r="IQ34" i="184"/>
  <c r="IR34" i="184"/>
  <c r="IS34" i="184"/>
  <c r="IT34" i="184"/>
  <c r="IU34" i="184"/>
  <c r="IV34" i="184"/>
  <c r="A33" i="184"/>
  <c r="B33" i="184"/>
  <c r="C33" i="184"/>
  <c r="D33" i="184"/>
  <c r="E33" i="184"/>
  <c r="F33" i="184"/>
  <c r="G33" i="184"/>
  <c r="H33" i="184"/>
  <c r="I33" i="184"/>
  <c r="J33" i="184"/>
  <c r="K33" i="184"/>
  <c r="L33" i="184"/>
  <c r="M33" i="184"/>
  <c r="N33" i="184"/>
  <c r="O33" i="184"/>
  <c r="P33" i="184"/>
  <c r="Q33" i="184"/>
  <c r="R33" i="184"/>
  <c r="S33" i="184"/>
  <c r="T33" i="184"/>
  <c r="U33" i="184"/>
  <c r="V33" i="184"/>
  <c r="W33" i="184"/>
  <c r="X33" i="184"/>
  <c r="Y33" i="184"/>
  <c r="Z33" i="184"/>
  <c r="AA33" i="184"/>
  <c r="AB33" i="184"/>
  <c r="AC33" i="184"/>
  <c r="AD33" i="184"/>
  <c r="AE33" i="184"/>
  <c r="AF33" i="184"/>
  <c r="AG33" i="184"/>
  <c r="AH33" i="184"/>
  <c r="AI33" i="184"/>
  <c r="AJ33" i="184"/>
  <c r="AK33" i="184"/>
  <c r="AL33" i="184"/>
  <c r="AM33" i="184"/>
  <c r="AN33" i="184"/>
  <c r="AO33" i="184"/>
  <c r="AP33" i="184"/>
  <c r="AQ33" i="184"/>
  <c r="AR33" i="184"/>
  <c r="AS33" i="184"/>
  <c r="AT33" i="184"/>
  <c r="AU33" i="184"/>
  <c r="AV33" i="184"/>
  <c r="AW33" i="184"/>
  <c r="AX33" i="184"/>
  <c r="AY33" i="184"/>
  <c r="AZ33" i="184"/>
  <c r="BA33" i="184"/>
  <c r="BB33" i="184"/>
  <c r="BC33" i="184"/>
  <c r="BD33" i="184"/>
  <c r="BE33" i="184"/>
  <c r="BF33" i="184"/>
  <c r="BG33" i="184"/>
  <c r="BH33" i="184"/>
  <c r="BI33" i="184"/>
  <c r="BJ33" i="184"/>
  <c r="BK33" i="184"/>
  <c r="BL33" i="184"/>
  <c r="BM33" i="184"/>
  <c r="BN33" i="184"/>
  <c r="BO33" i="184"/>
  <c r="BP33" i="184"/>
  <c r="BQ33" i="184"/>
  <c r="BR33" i="184"/>
  <c r="BS33" i="184"/>
  <c r="BT33" i="184"/>
  <c r="BU33" i="184"/>
  <c r="BV33" i="184"/>
  <c r="BW33" i="184"/>
  <c r="BX33" i="184"/>
  <c r="BY33" i="184"/>
  <c r="BZ33" i="184"/>
  <c r="CA33" i="184"/>
  <c r="CB33" i="184"/>
  <c r="CC33" i="184"/>
  <c r="CD33" i="184"/>
  <c r="CE33" i="184"/>
  <c r="CF33" i="184"/>
  <c r="CG33" i="184"/>
  <c r="CH33" i="184"/>
  <c r="CI33" i="184"/>
  <c r="CJ33" i="184"/>
  <c r="CK33" i="184"/>
  <c r="CL33" i="184"/>
  <c r="CM33" i="184"/>
  <c r="CN33" i="184"/>
  <c r="CO33" i="184"/>
  <c r="CP33" i="184"/>
  <c r="CQ33" i="184"/>
  <c r="CR33" i="184"/>
  <c r="CS33" i="184"/>
  <c r="CT33" i="184"/>
  <c r="CU33" i="184"/>
  <c r="CV33" i="184"/>
  <c r="CW33" i="184"/>
  <c r="CX33" i="184"/>
  <c r="CY33" i="184"/>
  <c r="CZ33" i="184"/>
  <c r="DA33" i="184"/>
  <c r="DB33" i="184"/>
  <c r="DC33" i="184"/>
  <c r="DD33" i="184"/>
  <c r="DE33" i="184"/>
  <c r="DF33" i="184"/>
  <c r="DG33" i="184"/>
  <c r="DH33" i="184"/>
  <c r="DI33" i="184"/>
  <c r="DJ33" i="184"/>
  <c r="DK33" i="184"/>
  <c r="DL33" i="184"/>
  <c r="DM33" i="184"/>
  <c r="DN33" i="184"/>
  <c r="DO33" i="184"/>
  <c r="DP33" i="184"/>
  <c r="DQ33" i="184"/>
  <c r="DR33" i="184"/>
  <c r="DS33" i="184"/>
  <c r="DT33" i="184"/>
  <c r="DU33" i="184"/>
  <c r="DV33" i="184"/>
  <c r="DW33" i="184"/>
  <c r="DX33" i="184"/>
  <c r="DY33" i="184"/>
  <c r="DZ33" i="184"/>
  <c r="EA33" i="184"/>
  <c r="EB33" i="184"/>
  <c r="EC33" i="184"/>
  <c r="ED33" i="184"/>
  <c r="EE33" i="184"/>
  <c r="EF33" i="184"/>
  <c r="EG33" i="184"/>
  <c r="EH33" i="184"/>
  <c r="EI33" i="184"/>
  <c r="EJ33" i="184"/>
  <c r="EK33" i="184"/>
  <c r="EL33" i="184"/>
  <c r="EM33" i="184"/>
  <c r="EN33" i="184"/>
  <c r="EO33" i="184"/>
  <c r="EP33" i="184"/>
  <c r="EQ33" i="184"/>
  <c r="ER33" i="184"/>
  <c r="ES33" i="184"/>
  <c r="ET33" i="184"/>
  <c r="EU33" i="184"/>
  <c r="EV33" i="184"/>
  <c r="EW33" i="184"/>
  <c r="EX33" i="184"/>
  <c r="EY33" i="184"/>
  <c r="EZ33" i="184"/>
  <c r="FA33" i="184"/>
  <c r="FB33" i="184"/>
  <c r="FC33" i="184"/>
  <c r="FD33" i="184"/>
  <c r="FE33" i="184"/>
  <c r="FF33" i="184"/>
  <c r="FG33" i="184"/>
  <c r="FH33" i="184"/>
  <c r="FI33" i="184"/>
  <c r="FJ33" i="184"/>
  <c r="FK33" i="184"/>
  <c r="FL33" i="184"/>
  <c r="FM33" i="184"/>
  <c r="FN33" i="184"/>
  <c r="FO33" i="184"/>
  <c r="FP33" i="184"/>
  <c r="FQ33" i="184"/>
  <c r="FR33" i="184"/>
  <c r="FS33" i="184"/>
  <c r="FT33" i="184"/>
  <c r="FU33" i="184"/>
  <c r="FV33" i="184"/>
  <c r="FW33" i="184"/>
  <c r="FX33" i="184"/>
  <c r="FY33" i="184"/>
  <c r="FZ33" i="184"/>
  <c r="GA33" i="184"/>
  <c r="GB33" i="184"/>
  <c r="GC33" i="184"/>
  <c r="GD33" i="184"/>
  <c r="GE33" i="184"/>
  <c r="GF33" i="184"/>
  <c r="GG33" i="184"/>
  <c r="GH33" i="184"/>
  <c r="GI33" i="184"/>
  <c r="GJ33" i="184"/>
  <c r="GK33" i="184"/>
  <c r="GL33" i="184"/>
  <c r="GM33" i="184"/>
  <c r="GN33" i="184"/>
  <c r="GO33" i="184"/>
  <c r="GP33" i="184"/>
  <c r="GQ33" i="184"/>
  <c r="GR33" i="184"/>
  <c r="GS33" i="184"/>
  <c r="GT33" i="184"/>
  <c r="GU33" i="184"/>
  <c r="GV33" i="184"/>
  <c r="GW33" i="184"/>
  <c r="GX33" i="184"/>
  <c r="GY33" i="184"/>
  <c r="GZ33" i="184"/>
  <c r="HA33" i="184"/>
  <c r="HB33" i="184"/>
  <c r="HC33" i="184"/>
  <c r="HD33" i="184"/>
  <c r="HE33" i="184"/>
  <c r="HF33" i="184"/>
  <c r="HG33" i="184"/>
  <c r="HH33" i="184"/>
  <c r="HI33" i="184"/>
  <c r="HJ33" i="184"/>
  <c r="HK33" i="184"/>
  <c r="HL33" i="184"/>
  <c r="HM33" i="184"/>
  <c r="HN33" i="184"/>
  <c r="HO33" i="184"/>
  <c r="HP33" i="184"/>
  <c r="HQ33" i="184"/>
  <c r="HR33" i="184"/>
  <c r="HS33" i="184"/>
  <c r="HT33" i="184"/>
  <c r="HU33" i="184"/>
  <c r="HV33" i="184"/>
  <c r="HW33" i="184"/>
  <c r="HX33" i="184"/>
  <c r="HY33" i="184"/>
  <c r="HZ33" i="184"/>
  <c r="IA33" i="184"/>
  <c r="IB33" i="184"/>
  <c r="IC33" i="184"/>
  <c r="ID33" i="184"/>
  <c r="IE33" i="184"/>
  <c r="IF33" i="184"/>
  <c r="IG33" i="184"/>
  <c r="IH33" i="184"/>
  <c r="II33" i="184"/>
  <c r="IJ33" i="184"/>
  <c r="IK33" i="184"/>
  <c r="IL33" i="184"/>
  <c r="IM33" i="184"/>
  <c r="IN33" i="184"/>
  <c r="IO33" i="184"/>
  <c r="IP33" i="184"/>
  <c r="IQ33" i="184"/>
  <c r="IR33" i="184"/>
  <c r="IS33" i="184"/>
  <c r="IT33" i="184"/>
  <c r="IU33" i="184"/>
  <c r="IV33" i="184"/>
  <c r="A32" i="184"/>
  <c r="B32" i="184"/>
  <c r="C32" i="184"/>
  <c r="D32" i="184"/>
  <c r="E32" i="184"/>
  <c r="F32" i="184"/>
  <c r="G32" i="184"/>
  <c r="H32" i="184"/>
  <c r="I32" i="184"/>
  <c r="J32" i="184"/>
  <c r="K32" i="184"/>
  <c r="L32" i="184"/>
  <c r="M32" i="184"/>
  <c r="N32" i="184"/>
  <c r="O32" i="184"/>
  <c r="P32" i="184"/>
  <c r="Q32" i="184"/>
  <c r="R32" i="184"/>
  <c r="T32" i="184"/>
  <c r="U32" i="184"/>
  <c r="V32" i="184"/>
  <c r="W32" i="184"/>
  <c r="X32" i="184"/>
  <c r="Y32" i="184"/>
  <c r="Z32" i="184"/>
  <c r="AA32" i="184"/>
  <c r="AB32" i="184"/>
  <c r="AC32" i="184"/>
  <c r="AD32" i="184"/>
  <c r="AE32" i="184"/>
  <c r="AF32" i="184"/>
  <c r="AG32" i="184"/>
  <c r="AH32" i="184"/>
  <c r="AI32" i="184"/>
  <c r="AJ32" i="184"/>
  <c r="AK32" i="184"/>
  <c r="AL32" i="184"/>
  <c r="AM32" i="184"/>
  <c r="AN32" i="184"/>
  <c r="AO32" i="184"/>
  <c r="AP32" i="184"/>
  <c r="AQ32" i="184"/>
  <c r="AR32" i="184"/>
  <c r="AS32" i="184"/>
  <c r="AT32" i="184"/>
  <c r="AU32" i="184"/>
  <c r="AV32" i="184"/>
  <c r="AW32" i="184"/>
  <c r="AX32" i="184"/>
  <c r="AY32" i="184"/>
  <c r="AZ32" i="184"/>
  <c r="BA32" i="184"/>
  <c r="BB32" i="184"/>
  <c r="BC32" i="184"/>
  <c r="BD32" i="184"/>
  <c r="BE32" i="184"/>
  <c r="BF32" i="184"/>
  <c r="BG32" i="184"/>
  <c r="BH32" i="184"/>
  <c r="BI32" i="184"/>
  <c r="BJ32" i="184"/>
  <c r="BK32" i="184"/>
  <c r="BL32" i="184"/>
  <c r="BM32" i="184"/>
  <c r="BN32" i="184"/>
  <c r="BO32" i="184"/>
  <c r="BP32" i="184"/>
  <c r="BQ32" i="184"/>
  <c r="BR32" i="184"/>
  <c r="BS32" i="184"/>
  <c r="BT32" i="184"/>
  <c r="BU32" i="184"/>
  <c r="BV32" i="184"/>
  <c r="BW32" i="184"/>
  <c r="BX32" i="184"/>
  <c r="BY32" i="184"/>
  <c r="BZ32" i="184"/>
  <c r="CA32" i="184"/>
  <c r="CB32" i="184"/>
  <c r="CC32" i="184"/>
  <c r="CD32" i="184"/>
  <c r="CE32" i="184"/>
  <c r="CF32" i="184"/>
  <c r="CG32" i="184"/>
  <c r="CH32" i="184"/>
  <c r="CI32" i="184"/>
  <c r="CJ32" i="184"/>
  <c r="CK32" i="184"/>
  <c r="CL32" i="184"/>
  <c r="CM32" i="184"/>
  <c r="CN32" i="184"/>
  <c r="CO32" i="184"/>
  <c r="CP32" i="184"/>
  <c r="CQ32" i="184"/>
  <c r="CR32" i="184"/>
  <c r="CS32" i="184"/>
  <c r="CT32" i="184"/>
  <c r="CU32" i="184"/>
  <c r="CV32" i="184"/>
  <c r="CW32" i="184"/>
  <c r="CX32" i="184"/>
  <c r="CY32" i="184"/>
  <c r="CZ32" i="184"/>
  <c r="DA32" i="184"/>
  <c r="DB32" i="184"/>
  <c r="DC32" i="184"/>
  <c r="DD32" i="184"/>
  <c r="DE32" i="184"/>
  <c r="DF32" i="184"/>
  <c r="DG32" i="184"/>
  <c r="DH32" i="184"/>
  <c r="DI32" i="184"/>
  <c r="DJ32" i="184"/>
  <c r="DK32" i="184"/>
  <c r="DL32" i="184"/>
  <c r="DM32" i="184"/>
  <c r="DN32" i="184"/>
  <c r="DO32" i="184"/>
  <c r="DP32" i="184"/>
  <c r="DQ32" i="184"/>
  <c r="DR32" i="184"/>
  <c r="DS32" i="184"/>
  <c r="DT32" i="184"/>
  <c r="DU32" i="184"/>
  <c r="DV32" i="184"/>
  <c r="DW32" i="184"/>
  <c r="DX32" i="184"/>
  <c r="DY32" i="184"/>
  <c r="DZ32" i="184"/>
  <c r="EA32" i="184"/>
  <c r="EB32" i="184"/>
  <c r="EC32" i="184"/>
  <c r="ED32" i="184"/>
  <c r="EE32" i="184"/>
  <c r="EF32" i="184"/>
  <c r="EG32" i="184"/>
  <c r="EH32" i="184"/>
  <c r="EI32" i="184"/>
  <c r="EJ32" i="184"/>
  <c r="EK32" i="184"/>
  <c r="EL32" i="184"/>
  <c r="EM32" i="184"/>
  <c r="EN32" i="184"/>
  <c r="EO32" i="184"/>
  <c r="EP32" i="184"/>
  <c r="EQ32" i="184"/>
  <c r="ER32" i="184"/>
  <c r="ES32" i="184"/>
  <c r="ET32" i="184"/>
  <c r="EU32" i="184"/>
  <c r="EV32" i="184"/>
  <c r="EW32" i="184"/>
  <c r="EX32" i="184"/>
  <c r="EY32" i="184"/>
  <c r="EZ32" i="184"/>
  <c r="FA32" i="184"/>
  <c r="FB32" i="184"/>
  <c r="FC32" i="184"/>
  <c r="FD32" i="184"/>
  <c r="FE32" i="184"/>
  <c r="FF32" i="184"/>
  <c r="FG32" i="184"/>
  <c r="FH32" i="184"/>
  <c r="FI32" i="184"/>
  <c r="FJ32" i="184"/>
  <c r="FK32" i="184"/>
  <c r="FL32" i="184"/>
  <c r="FM32" i="184"/>
  <c r="FN32" i="184"/>
  <c r="FO32" i="184"/>
  <c r="FP32" i="184"/>
  <c r="FQ32" i="184"/>
  <c r="FR32" i="184"/>
  <c r="FS32" i="184"/>
  <c r="FT32" i="184"/>
  <c r="FU32" i="184"/>
  <c r="FV32" i="184"/>
  <c r="FW32" i="184"/>
  <c r="FX32" i="184"/>
  <c r="FY32" i="184"/>
  <c r="FZ32" i="184"/>
  <c r="GA32" i="184"/>
  <c r="GB32" i="184"/>
  <c r="GC32" i="184"/>
  <c r="GD32" i="184"/>
  <c r="GE32" i="184"/>
  <c r="GF32" i="184"/>
  <c r="GG32" i="184"/>
  <c r="GH32" i="184"/>
  <c r="GI32" i="184"/>
  <c r="GJ32" i="184"/>
  <c r="GK32" i="184"/>
  <c r="GL32" i="184"/>
  <c r="GM32" i="184"/>
  <c r="GN32" i="184"/>
  <c r="GO32" i="184"/>
  <c r="HD32" i="184"/>
  <c r="HG32" i="184"/>
  <c r="HH32" i="184"/>
  <c r="HI32" i="184"/>
  <c r="HJ32" i="184"/>
  <c r="HK32" i="184"/>
  <c r="HL32" i="184"/>
  <c r="HM32" i="184"/>
  <c r="HN32" i="184"/>
  <c r="HO32" i="184"/>
  <c r="HP32" i="184"/>
  <c r="HQ32" i="184"/>
  <c r="HR32" i="184"/>
  <c r="HS32" i="184"/>
  <c r="HT32" i="184"/>
  <c r="HU32" i="184"/>
  <c r="HV32" i="184"/>
  <c r="HW32" i="184"/>
  <c r="HX32" i="184"/>
  <c r="HY32" i="184"/>
  <c r="HZ32" i="184"/>
  <c r="IA32" i="184"/>
  <c r="IB32" i="184"/>
  <c r="IC32" i="184"/>
  <c r="ID32" i="184"/>
  <c r="IE32" i="184"/>
  <c r="IF32" i="184"/>
  <c r="IG32" i="184"/>
  <c r="IH32" i="184"/>
  <c r="II32" i="184"/>
  <c r="IJ32" i="184"/>
  <c r="IK32" i="184"/>
  <c r="IL32" i="184"/>
  <c r="IM32" i="184"/>
  <c r="IN32" i="184"/>
  <c r="IO32" i="184"/>
  <c r="IP32" i="184"/>
  <c r="IQ32" i="184"/>
  <c r="IR32" i="184"/>
  <c r="IS32" i="184"/>
  <c r="IT32" i="184"/>
  <c r="IU32" i="184"/>
  <c r="IV32" i="184"/>
  <c r="A31" i="184"/>
  <c r="B31" i="184"/>
  <c r="C31" i="184"/>
  <c r="D31" i="184"/>
  <c r="E31" i="184"/>
  <c r="F31" i="184"/>
  <c r="G31" i="184"/>
  <c r="H31" i="184"/>
  <c r="I31" i="184"/>
  <c r="J31" i="184"/>
  <c r="K31" i="184"/>
  <c r="L31" i="184"/>
  <c r="M31" i="184"/>
  <c r="N31" i="184"/>
  <c r="O31" i="184"/>
  <c r="P31" i="184"/>
  <c r="Q31" i="184"/>
  <c r="R31" i="184"/>
  <c r="S31" i="184"/>
  <c r="T31" i="184"/>
  <c r="U31" i="184"/>
  <c r="V31" i="184"/>
  <c r="X31" i="184"/>
  <c r="Y31" i="184"/>
  <c r="Z31" i="184"/>
  <c r="AA31" i="184"/>
  <c r="AB31" i="184"/>
  <c r="AC31" i="184"/>
  <c r="AD31" i="184"/>
  <c r="AE31" i="184"/>
  <c r="AF31" i="184"/>
  <c r="AG31" i="184"/>
  <c r="AH31" i="184"/>
  <c r="AI31" i="184"/>
  <c r="AJ31" i="184"/>
  <c r="AK31" i="184"/>
  <c r="AL31" i="184"/>
  <c r="AM31" i="184"/>
  <c r="AN31" i="184"/>
  <c r="AO31" i="184"/>
  <c r="AP31" i="184"/>
  <c r="AQ31" i="184"/>
  <c r="AR31" i="184"/>
  <c r="AS31" i="184"/>
  <c r="AT31" i="184"/>
  <c r="AU31" i="184"/>
  <c r="AV31" i="184"/>
  <c r="AW31" i="184"/>
  <c r="AX31" i="184"/>
  <c r="AY31" i="184"/>
  <c r="AZ31" i="184"/>
  <c r="BA31" i="184"/>
  <c r="BB31" i="184"/>
  <c r="BC31" i="184"/>
  <c r="BD31" i="184"/>
  <c r="BE31" i="184"/>
  <c r="BF31" i="184"/>
  <c r="BG31" i="184"/>
  <c r="BH31" i="184"/>
  <c r="BI31" i="184"/>
  <c r="BJ31" i="184"/>
  <c r="BK31" i="184"/>
  <c r="BL31" i="184"/>
  <c r="BM31" i="184"/>
  <c r="BN31" i="184"/>
  <c r="BO31" i="184"/>
  <c r="BP31" i="184"/>
  <c r="BQ31" i="184"/>
  <c r="BR31" i="184"/>
  <c r="BS31" i="184"/>
  <c r="BT31" i="184"/>
  <c r="BU31" i="184"/>
  <c r="BV31" i="184"/>
  <c r="BW31" i="184"/>
  <c r="BX31" i="184"/>
  <c r="BY31" i="184"/>
  <c r="BZ31" i="184"/>
  <c r="CA31" i="184"/>
  <c r="CB31" i="184"/>
  <c r="CC31" i="184"/>
  <c r="CD31" i="184"/>
  <c r="CE31" i="184"/>
  <c r="CF31" i="184"/>
  <c r="CG31" i="184"/>
  <c r="CH31" i="184"/>
  <c r="CI31" i="184"/>
  <c r="CJ31" i="184"/>
  <c r="CK31" i="184"/>
  <c r="CL31" i="184"/>
  <c r="CM31" i="184"/>
  <c r="CN31" i="184"/>
  <c r="CO31" i="184"/>
  <c r="CP31" i="184"/>
  <c r="CQ31" i="184"/>
  <c r="CR31" i="184"/>
  <c r="CS31" i="184"/>
  <c r="CT31" i="184"/>
  <c r="CU31" i="184"/>
  <c r="CV31" i="184"/>
  <c r="CW31" i="184"/>
  <c r="CX31" i="184"/>
  <c r="CY31" i="184"/>
  <c r="CZ31" i="184"/>
  <c r="DA31" i="184"/>
  <c r="DB31" i="184"/>
  <c r="DC31" i="184"/>
  <c r="DD31" i="184"/>
  <c r="DE31" i="184"/>
  <c r="DF31" i="184"/>
  <c r="DG31" i="184"/>
  <c r="DH31" i="184"/>
  <c r="DI31" i="184"/>
  <c r="DJ31" i="184"/>
  <c r="DK31" i="184"/>
  <c r="DL31" i="184"/>
  <c r="DM31" i="184"/>
  <c r="DN31" i="184"/>
  <c r="DO31" i="184"/>
  <c r="DP31" i="184"/>
  <c r="DQ31" i="184"/>
  <c r="DR31" i="184"/>
  <c r="DS31" i="184"/>
  <c r="DT31" i="184"/>
  <c r="DU31" i="184"/>
  <c r="DV31" i="184"/>
  <c r="DW31" i="184"/>
  <c r="DX31" i="184"/>
  <c r="DY31" i="184"/>
  <c r="DZ31" i="184"/>
  <c r="EA31" i="184"/>
  <c r="EB31" i="184"/>
  <c r="EC31" i="184"/>
  <c r="ED31" i="184"/>
  <c r="EE31" i="184"/>
  <c r="EF31" i="184"/>
  <c r="EG31" i="184"/>
  <c r="EH31" i="184"/>
  <c r="EI31" i="184"/>
  <c r="EJ31" i="184"/>
  <c r="EK31" i="184"/>
  <c r="EL31" i="184"/>
  <c r="EM31" i="184"/>
  <c r="EN31" i="184"/>
  <c r="EO31" i="184"/>
  <c r="EP31" i="184"/>
  <c r="EQ31" i="184"/>
  <c r="ER31" i="184"/>
  <c r="ES31" i="184"/>
  <c r="ET31" i="184"/>
  <c r="EU31" i="184"/>
  <c r="EV31" i="184"/>
  <c r="EW31" i="184"/>
  <c r="EX31" i="184"/>
  <c r="EY31" i="184"/>
  <c r="EZ31" i="184"/>
  <c r="FA31" i="184"/>
  <c r="FB31" i="184"/>
  <c r="FC31" i="184"/>
  <c r="FD31" i="184"/>
  <c r="FE31" i="184"/>
  <c r="FF31" i="184"/>
  <c r="FG31" i="184"/>
  <c r="FH31" i="184"/>
  <c r="FI31" i="184"/>
  <c r="FJ31" i="184"/>
  <c r="FK31" i="184"/>
  <c r="FL31" i="184"/>
  <c r="FM31" i="184"/>
  <c r="FN31" i="184"/>
  <c r="FO31" i="184"/>
  <c r="FP31" i="184"/>
  <c r="FQ31" i="184"/>
  <c r="FR31" i="184"/>
  <c r="FS31" i="184"/>
  <c r="FT31" i="184"/>
  <c r="FU31" i="184"/>
  <c r="FV31" i="184"/>
  <c r="FW31" i="184"/>
  <c r="FX31" i="184"/>
  <c r="FY31" i="184"/>
  <c r="FZ31" i="184"/>
  <c r="GA31" i="184"/>
  <c r="GB31" i="184"/>
  <c r="GC31" i="184"/>
  <c r="GD31" i="184"/>
  <c r="GE31" i="184"/>
  <c r="GF31" i="184"/>
  <c r="GG31" i="184"/>
  <c r="GH31" i="184"/>
  <c r="GI31" i="184"/>
  <c r="GJ31" i="184"/>
  <c r="GK31" i="184"/>
  <c r="GL31" i="184"/>
  <c r="GM31" i="184"/>
  <c r="GN31" i="184"/>
  <c r="GO31" i="184"/>
  <c r="GP31" i="184"/>
  <c r="GQ31" i="184"/>
  <c r="GR31" i="184"/>
  <c r="GS31" i="184"/>
  <c r="GT31" i="184"/>
  <c r="GU31" i="184"/>
  <c r="GV31" i="184"/>
  <c r="GW31" i="184"/>
  <c r="GX31" i="184"/>
  <c r="GY31" i="184"/>
  <c r="GZ31" i="184"/>
  <c r="HA31" i="184"/>
  <c r="HB31" i="184"/>
  <c r="HC31" i="184"/>
  <c r="HD31" i="184"/>
  <c r="HE31" i="184"/>
  <c r="HF31" i="184"/>
  <c r="HG31" i="184"/>
  <c r="HH31" i="184"/>
  <c r="HI31" i="184"/>
  <c r="HJ31" i="184"/>
  <c r="HK31" i="184"/>
  <c r="HL31" i="184"/>
  <c r="HM31" i="184"/>
  <c r="HN31" i="184"/>
  <c r="HO31" i="184"/>
  <c r="HP31" i="184"/>
  <c r="HQ31" i="184"/>
  <c r="HR31" i="184"/>
  <c r="HS31" i="184"/>
  <c r="HT31" i="184"/>
  <c r="HU31" i="184"/>
  <c r="HV31" i="184"/>
  <c r="HW31" i="184"/>
  <c r="HX31" i="184"/>
  <c r="HY31" i="184"/>
  <c r="HZ31" i="184"/>
  <c r="IA31" i="184"/>
  <c r="IB31" i="184"/>
  <c r="IC31" i="184"/>
  <c r="ID31" i="184"/>
  <c r="IE31" i="184"/>
  <c r="IF31" i="184"/>
  <c r="IG31" i="184"/>
  <c r="IH31" i="184"/>
  <c r="II31" i="184"/>
  <c r="IJ31" i="184"/>
  <c r="IK31" i="184"/>
  <c r="IL31" i="184"/>
  <c r="IM31" i="184"/>
  <c r="IN31" i="184"/>
  <c r="IO31" i="184"/>
  <c r="IP31" i="184"/>
  <c r="IQ31" i="184"/>
  <c r="IR31" i="184"/>
  <c r="IS31" i="184"/>
  <c r="IT31" i="184"/>
  <c r="IU31" i="184"/>
  <c r="IV31" i="184"/>
  <c r="A30" i="184"/>
  <c r="B30" i="184"/>
  <c r="C30" i="184"/>
  <c r="D30" i="184"/>
  <c r="E30" i="184"/>
  <c r="G30" i="184"/>
  <c r="H30" i="184"/>
  <c r="I30" i="184"/>
  <c r="J30" i="184"/>
  <c r="K30" i="184"/>
  <c r="L30" i="184"/>
  <c r="M30" i="184"/>
  <c r="N30" i="184"/>
  <c r="O30" i="184"/>
  <c r="P30" i="184"/>
  <c r="Q30" i="184"/>
  <c r="R30" i="184"/>
  <c r="S30" i="184"/>
  <c r="T30" i="184"/>
  <c r="U30" i="184"/>
  <c r="V30" i="184"/>
  <c r="W30" i="184"/>
  <c r="X30" i="184"/>
  <c r="Y30" i="184"/>
  <c r="Z30" i="184"/>
  <c r="AA30" i="184"/>
  <c r="AB30" i="184"/>
  <c r="AC30" i="184"/>
  <c r="AD30" i="184"/>
  <c r="AE30" i="184"/>
  <c r="AF30" i="184"/>
  <c r="AG30" i="184"/>
  <c r="AH30" i="184"/>
  <c r="AI30" i="184"/>
  <c r="AJ30" i="184"/>
  <c r="AK30" i="184"/>
  <c r="AL30" i="184"/>
  <c r="AM30" i="184"/>
  <c r="AN30" i="184"/>
  <c r="AO30" i="184"/>
  <c r="AP30" i="184"/>
  <c r="AQ30" i="184"/>
  <c r="AR30" i="184"/>
  <c r="AS30" i="184"/>
  <c r="AT30" i="184"/>
  <c r="AU30" i="184"/>
  <c r="AV30" i="184"/>
  <c r="AW30" i="184"/>
  <c r="AX30" i="184"/>
  <c r="AY30" i="184"/>
  <c r="AZ30" i="184"/>
  <c r="BA30" i="184"/>
  <c r="BB30" i="184"/>
  <c r="BC30" i="184"/>
  <c r="BD30" i="184"/>
  <c r="BE30" i="184"/>
  <c r="BF30" i="184"/>
  <c r="BG30" i="184"/>
  <c r="BH30" i="184"/>
  <c r="BI30" i="184"/>
  <c r="BJ30" i="184"/>
  <c r="BK30" i="184"/>
  <c r="BL30" i="184"/>
  <c r="BM30" i="184"/>
  <c r="BN30" i="184"/>
  <c r="BO30" i="184"/>
  <c r="BP30" i="184"/>
  <c r="BQ30" i="184"/>
  <c r="BR30" i="184"/>
  <c r="BS30" i="184"/>
  <c r="BT30" i="184"/>
  <c r="BU30" i="184"/>
  <c r="BV30" i="184"/>
  <c r="BW30" i="184"/>
  <c r="BX30" i="184"/>
  <c r="BY30" i="184"/>
  <c r="BZ30" i="184"/>
  <c r="CA30" i="184"/>
  <c r="CB30" i="184"/>
  <c r="CC30" i="184"/>
  <c r="CD30" i="184"/>
  <c r="CE30" i="184"/>
  <c r="CF30" i="184"/>
  <c r="CG30" i="184"/>
  <c r="CH30" i="184"/>
  <c r="CI30" i="184"/>
  <c r="CJ30" i="184"/>
  <c r="CK30" i="184"/>
  <c r="CL30" i="184"/>
  <c r="CM30" i="184"/>
  <c r="CN30" i="184"/>
  <c r="CO30" i="184"/>
  <c r="CP30" i="184"/>
  <c r="CQ30" i="184"/>
  <c r="CR30" i="184"/>
  <c r="CS30" i="184"/>
  <c r="CT30" i="184"/>
  <c r="CU30" i="184"/>
  <c r="CV30" i="184"/>
  <c r="CW30" i="184"/>
  <c r="CX30" i="184"/>
  <c r="CY30" i="184"/>
  <c r="CZ30" i="184"/>
  <c r="DA30" i="184"/>
  <c r="DB30" i="184"/>
  <c r="DC30" i="184"/>
  <c r="DD30" i="184"/>
  <c r="DE30" i="184"/>
  <c r="DF30" i="184"/>
  <c r="DG30" i="184"/>
  <c r="DH30" i="184"/>
  <c r="DI30" i="184"/>
  <c r="DJ30" i="184"/>
  <c r="DK30" i="184"/>
  <c r="DL30" i="184"/>
  <c r="DM30" i="184"/>
  <c r="DN30" i="184"/>
  <c r="DO30" i="184"/>
  <c r="DP30" i="184"/>
  <c r="DQ30" i="184"/>
  <c r="DR30" i="184"/>
  <c r="DS30" i="184"/>
  <c r="DT30" i="184"/>
  <c r="DU30" i="184"/>
  <c r="DV30" i="184"/>
  <c r="DW30" i="184"/>
  <c r="DX30" i="184"/>
  <c r="DY30" i="184"/>
  <c r="DZ30" i="184"/>
  <c r="EA30" i="184"/>
  <c r="EB30" i="184"/>
  <c r="EC30" i="184"/>
  <c r="ED30" i="184"/>
  <c r="EE30" i="184"/>
  <c r="EF30" i="184"/>
  <c r="EG30" i="184"/>
  <c r="EH30" i="184"/>
  <c r="EI30" i="184"/>
  <c r="EJ30" i="184"/>
  <c r="EK30" i="184"/>
  <c r="EL30" i="184"/>
  <c r="EM30" i="184"/>
  <c r="EN30" i="184"/>
  <c r="EO30" i="184"/>
  <c r="EP30" i="184"/>
  <c r="EQ30" i="184"/>
  <c r="ER30" i="184"/>
  <c r="ES30" i="184"/>
  <c r="ET30" i="184"/>
  <c r="EU30" i="184"/>
  <c r="EV30" i="184"/>
  <c r="EW30" i="184"/>
  <c r="EX30" i="184"/>
  <c r="EY30" i="184"/>
  <c r="EZ30" i="184"/>
  <c r="FA30" i="184"/>
  <c r="FB30" i="184"/>
  <c r="FC30" i="184"/>
  <c r="FD30" i="184"/>
  <c r="FE30" i="184"/>
  <c r="FF30" i="184"/>
  <c r="FG30" i="184"/>
  <c r="FH30" i="184"/>
  <c r="FI30" i="184"/>
  <c r="FJ30" i="184"/>
  <c r="FK30" i="184"/>
  <c r="FL30" i="184"/>
  <c r="FM30" i="184"/>
  <c r="FN30" i="184"/>
  <c r="FO30" i="184"/>
  <c r="FP30" i="184"/>
  <c r="FQ30" i="184"/>
  <c r="FR30" i="184"/>
  <c r="FS30" i="184"/>
  <c r="FT30" i="184"/>
  <c r="FU30" i="184"/>
  <c r="FV30" i="184"/>
  <c r="FW30" i="184"/>
  <c r="FX30" i="184"/>
  <c r="FY30" i="184"/>
  <c r="FZ30" i="184"/>
  <c r="GA30" i="184"/>
  <c r="GB30" i="184"/>
  <c r="GC30" i="184"/>
  <c r="GD30" i="184"/>
  <c r="GE30" i="184"/>
  <c r="GF30" i="184"/>
  <c r="GG30" i="184"/>
  <c r="GH30" i="184"/>
  <c r="GI30" i="184"/>
  <c r="GJ30" i="184"/>
  <c r="GK30" i="184"/>
  <c r="GL30" i="184"/>
  <c r="GM30" i="184"/>
  <c r="GN30" i="184"/>
  <c r="GO30" i="184"/>
  <c r="GP30" i="184"/>
  <c r="GQ30" i="184"/>
  <c r="GR30" i="184"/>
  <c r="GS30" i="184"/>
  <c r="GT30" i="184"/>
  <c r="GU30" i="184"/>
  <c r="GV30" i="184"/>
  <c r="GW30" i="184"/>
  <c r="GX30" i="184"/>
  <c r="GY30" i="184"/>
  <c r="GZ30" i="184"/>
  <c r="HA30" i="184"/>
  <c r="HB30" i="184"/>
  <c r="HC30" i="184"/>
  <c r="HD30" i="184"/>
  <c r="HE30" i="184"/>
  <c r="HF30" i="184"/>
  <c r="HG30" i="184"/>
  <c r="HH30" i="184"/>
  <c r="HI30" i="184"/>
  <c r="HJ30" i="184"/>
  <c r="HK30" i="184"/>
  <c r="HL30" i="184"/>
  <c r="HM30" i="184"/>
  <c r="HN30" i="184"/>
  <c r="HO30" i="184"/>
  <c r="HP30" i="184"/>
  <c r="HQ30" i="184"/>
  <c r="HR30" i="184"/>
  <c r="HS30" i="184"/>
  <c r="HT30" i="184"/>
  <c r="HU30" i="184"/>
  <c r="HV30" i="184"/>
  <c r="HW30" i="184"/>
  <c r="HX30" i="184"/>
  <c r="HY30" i="184"/>
  <c r="HZ30" i="184"/>
  <c r="IA30" i="184"/>
  <c r="IB30" i="184"/>
  <c r="IC30" i="184"/>
  <c r="ID30" i="184"/>
  <c r="IE30" i="184"/>
  <c r="IF30" i="184"/>
  <c r="IG30" i="184"/>
  <c r="IH30" i="184"/>
  <c r="II30" i="184"/>
  <c r="IJ30" i="184"/>
  <c r="IK30" i="184"/>
  <c r="IL30" i="184"/>
  <c r="IM30" i="184"/>
  <c r="IN30" i="184"/>
  <c r="IO30" i="184"/>
  <c r="IP30" i="184"/>
  <c r="IQ30" i="184"/>
  <c r="IR30" i="184"/>
  <c r="IS30" i="184"/>
  <c r="IT30" i="184"/>
  <c r="IU30" i="184"/>
  <c r="IV30" i="184"/>
  <c r="A29" i="184"/>
  <c r="B29" i="184"/>
  <c r="C29" i="184"/>
  <c r="D29" i="184"/>
  <c r="E29" i="184"/>
  <c r="F29" i="184"/>
  <c r="G29" i="184"/>
  <c r="H29" i="184"/>
  <c r="I29" i="184"/>
  <c r="K29" i="184"/>
  <c r="L29" i="184"/>
  <c r="M29" i="184"/>
  <c r="N29" i="184"/>
  <c r="O29" i="184"/>
  <c r="P29" i="184"/>
  <c r="Q29" i="184"/>
  <c r="R29" i="184"/>
  <c r="S29" i="184"/>
  <c r="T29" i="184"/>
  <c r="U29" i="184"/>
  <c r="V29" i="184"/>
  <c r="W29" i="184"/>
  <c r="X29" i="184"/>
  <c r="Y29" i="184"/>
  <c r="Z29" i="184"/>
  <c r="AA29" i="184"/>
  <c r="AB29" i="184"/>
  <c r="AC29" i="184"/>
  <c r="AD29" i="184"/>
  <c r="AF29" i="184"/>
  <c r="AG29" i="184"/>
  <c r="AH29" i="184"/>
  <c r="AJ29" i="184"/>
  <c r="AL29" i="184"/>
  <c r="AM29" i="184"/>
  <c r="AN29" i="184"/>
  <c r="AP29" i="184"/>
  <c r="AR29" i="184"/>
  <c r="AT29" i="184"/>
  <c r="AV29" i="184"/>
  <c r="AW29" i="184"/>
  <c r="AX29" i="184"/>
  <c r="AY29" i="184"/>
  <c r="AZ29" i="184"/>
  <c r="BA29" i="184"/>
  <c r="BB29" i="184"/>
  <c r="BC29" i="184"/>
  <c r="BD29" i="184"/>
  <c r="BE29" i="184"/>
  <c r="BF29" i="184"/>
  <c r="BG29" i="184"/>
  <c r="BH29" i="184"/>
  <c r="BI29" i="184"/>
  <c r="BJ29" i="184"/>
  <c r="BK29" i="184"/>
  <c r="BL29" i="184"/>
  <c r="BM29" i="184"/>
  <c r="BN29" i="184"/>
  <c r="BO29" i="184"/>
  <c r="BP29" i="184"/>
  <c r="BQ29" i="184"/>
  <c r="BR29" i="184"/>
  <c r="BS29" i="184"/>
  <c r="BT29" i="184"/>
  <c r="BU29" i="184"/>
  <c r="BV29" i="184"/>
  <c r="BW29" i="184"/>
  <c r="BX29" i="184"/>
  <c r="BY29" i="184"/>
  <c r="BZ29" i="184"/>
  <c r="CA29" i="184"/>
  <c r="CB29" i="184"/>
  <c r="CC29" i="184"/>
  <c r="CD29" i="184"/>
  <c r="CE29" i="184"/>
  <c r="CF29" i="184"/>
  <c r="CG29" i="184"/>
  <c r="CH29" i="184"/>
  <c r="CI29" i="184"/>
  <c r="CJ29" i="184"/>
  <c r="CK29" i="184"/>
  <c r="CL29" i="184"/>
  <c r="CM29" i="184"/>
  <c r="CN29" i="184"/>
  <c r="CO29" i="184"/>
  <c r="CP29" i="184"/>
  <c r="CQ29" i="184"/>
  <c r="CR29" i="184"/>
  <c r="CS29" i="184"/>
  <c r="CT29" i="184"/>
  <c r="CU29" i="184"/>
  <c r="CV29" i="184"/>
  <c r="CW29" i="184"/>
  <c r="CX29" i="184"/>
  <c r="CY29" i="184"/>
  <c r="CZ29" i="184"/>
  <c r="DA29" i="184"/>
  <c r="DB29" i="184"/>
  <c r="DC29" i="184"/>
  <c r="DD29" i="184"/>
  <c r="DE29" i="184"/>
  <c r="DF29" i="184"/>
  <c r="DG29" i="184"/>
  <c r="DH29" i="184"/>
  <c r="DI29" i="184"/>
  <c r="DJ29" i="184"/>
  <c r="DK29" i="184"/>
  <c r="DL29" i="184"/>
  <c r="DM29" i="184"/>
  <c r="DN29" i="184"/>
  <c r="DO29" i="184"/>
  <c r="DP29" i="184"/>
  <c r="DQ29" i="184"/>
  <c r="DR29" i="184"/>
  <c r="DS29" i="184"/>
  <c r="DT29" i="184"/>
  <c r="DU29" i="184"/>
  <c r="DV29" i="184"/>
  <c r="DW29" i="184"/>
  <c r="DX29" i="184"/>
  <c r="DY29" i="184"/>
  <c r="DZ29" i="184"/>
  <c r="EA29" i="184"/>
  <c r="EB29" i="184"/>
  <c r="EC29" i="184"/>
  <c r="ED29" i="184"/>
  <c r="EE29" i="184"/>
  <c r="EF29" i="184"/>
  <c r="EG29" i="184"/>
  <c r="EH29" i="184"/>
  <c r="EI29" i="184"/>
  <c r="EJ29" i="184"/>
  <c r="EK29" i="184"/>
  <c r="EL29" i="184"/>
  <c r="EM29" i="184"/>
  <c r="EN29" i="184"/>
  <c r="EO29" i="184"/>
  <c r="EP29" i="184"/>
  <c r="EQ29" i="184"/>
  <c r="ER29" i="184"/>
  <c r="ES29" i="184"/>
  <c r="ET29" i="184"/>
  <c r="EU29" i="184"/>
  <c r="EV29" i="184"/>
  <c r="EW29" i="184"/>
  <c r="EX29" i="184"/>
  <c r="EY29" i="184"/>
  <c r="EZ29" i="184"/>
  <c r="FA29" i="184"/>
  <c r="FB29" i="184"/>
  <c r="FC29" i="184"/>
  <c r="FD29" i="184"/>
  <c r="FE29" i="184"/>
  <c r="FF29" i="184"/>
  <c r="FG29" i="184"/>
  <c r="FH29" i="184"/>
  <c r="FI29" i="184"/>
  <c r="FJ29" i="184"/>
  <c r="FK29" i="184"/>
  <c r="FL29" i="184"/>
  <c r="FM29" i="184"/>
  <c r="FN29" i="184"/>
  <c r="FO29" i="184"/>
  <c r="FP29" i="184"/>
  <c r="FQ29" i="184"/>
  <c r="FR29" i="184"/>
  <c r="FS29" i="184"/>
  <c r="FT29" i="184"/>
  <c r="FU29" i="184"/>
  <c r="FV29" i="184"/>
  <c r="FW29" i="184"/>
  <c r="FX29" i="184"/>
  <c r="FY29" i="184"/>
  <c r="FZ29" i="184"/>
  <c r="GA29" i="184"/>
  <c r="GB29" i="184"/>
  <c r="GC29" i="184"/>
  <c r="GD29" i="184"/>
  <c r="GE29" i="184"/>
  <c r="GF29" i="184"/>
  <c r="GG29" i="184"/>
  <c r="GH29" i="184"/>
  <c r="GI29" i="184"/>
  <c r="GJ29" i="184"/>
  <c r="GK29" i="184"/>
  <c r="GL29" i="184"/>
  <c r="GM29" i="184"/>
  <c r="GN29" i="184"/>
  <c r="GO29" i="184"/>
  <c r="GP29" i="184"/>
  <c r="GQ29" i="184"/>
  <c r="GR29" i="184"/>
  <c r="GS29" i="184"/>
  <c r="GT29" i="184"/>
  <c r="GU29" i="184"/>
  <c r="GV29" i="184"/>
  <c r="GW29" i="184"/>
  <c r="GX29" i="184"/>
  <c r="GY29" i="184"/>
  <c r="GZ29" i="184"/>
  <c r="HA29" i="184"/>
  <c r="HB29" i="184"/>
  <c r="HC29" i="184"/>
  <c r="HD29" i="184"/>
  <c r="HE29" i="184"/>
  <c r="HF29" i="184"/>
  <c r="HG29" i="184"/>
  <c r="HH29" i="184"/>
  <c r="HI29" i="184"/>
  <c r="HJ29" i="184"/>
  <c r="HK29" i="184"/>
  <c r="HL29" i="184"/>
  <c r="HM29" i="184"/>
  <c r="HN29" i="184"/>
  <c r="HO29" i="184"/>
  <c r="HP29" i="184"/>
  <c r="HQ29" i="184"/>
  <c r="HR29" i="184"/>
  <c r="HS29" i="184"/>
  <c r="HT29" i="184"/>
  <c r="HU29" i="184"/>
  <c r="HV29" i="184"/>
  <c r="HW29" i="184"/>
  <c r="HX29" i="184"/>
  <c r="HY29" i="184"/>
  <c r="HZ29" i="184"/>
  <c r="IA29" i="184"/>
  <c r="IB29" i="184"/>
  <c r="IC29" i="184"/>
  <c r="ID29" i="184"/>
  <c r="IE29" i="184"/>
  <c r="IF29" i="184"/>
  <c r="IG29" i="184"/>
  <c r="IH29" i="184"/>
  <c r="II29" i="184"/>
  <c r="IJ29" i="184"/>
  <c r="IK29" i="184"/>
  <c r="IL29" i="184"/>
  <c r="IM29" i="184"/>
  <c r="IN29" i="184"/>
  <c r="IO29" i="184"/>
  <c r="IP29" i="184"/>
  <c r="IQ29" i="184"/>
  <c r="IR29" i="184"/>
  <c r="IS29" i="184"/>
  <c r="IT29" i="184"/>
  <c r="IU29" i="184"/>
  <c r="IV29" i="184"/>
  <c r="A28" i="184"/>
  <c r="B28" i="184"/>
  <c r="C28" i="184"/>
  <c r="D28" i="184"/>
  <c r="E28" i="184"/>
  <c r="F28" i="184"/>
  <c r="G28" i="184"/>
  <c r="H28" i="184"/>
  <c r="I28" i="184"/>
  <c r="J28" i="184"/>
  <c r="K28" i="184"/>
  <c r="L28" i="184"/>
  <c r="M28" i="184"/>
  <c r="N28" i="184"/>
  <c r="O28" i="184"/>
  <c r="P28" i="184"/>
  <c r="Q28" i="184"/>
  <c r="R28" i="184"/>
  <c r="S28" i="184"/>
  <c r="T28" i="184"/>
  <c r="U28" i="184"/>
  <c r="V28" i="184"/>
  <c r="W28" i="184"/>
  <c r="X28" i="184"/>
  <c r="Y28" i="184"/>
  <c r="Z28" i="184"/>
  <c r="AA28" i="184"/>
  <c r="AB28" i="184"/>
  <c r="AC28" i="184"/>
  <c r="AD28" i="184"/>
  <c r="AE28" i="184"/>
  <c r="AF28" i="184"/>
  <c r="AG28" i="184"/>
  <c r="AH28" i="184"/>
  <c r="AI28" i="184"/>
  <c r="AJ28" i="184"/>
  <c r="AK28" i="184"/>
  <c r="AL28" i="184"/>
  <c r="AM28" i="184"/>
  <c r="AN28" i="184"/>
  <c r="AO28" i="184"/>
  <c r="AP28" i="184"/>
  <c r="AQ28" i="184"/>
  <c r="AR28" i="184"/>
  <c r="AS28" i="184"/>
  <c r="AT28" i="184"/>
  <c r="AU28" i="184"/>
  <c r="AV28" i="184"/>
  <c r="AW28" i="184"/>
  <c r="AX28" i="184"/>
  <c r="AY28" i="184"/>
  <c r="AZ28" i="184"/>
  <c r="BA28" i="184"/>
  <c r="BB28" i="184"/>
  <c r="BC28" i="184"/>
  <c r="BD28" i="184"/>
  <c r="BE28" i="184"/>
  <c r="BF28" i="184"/>
  <c r="BG28" i="184"/>
  <c r="BH28" i="184"/>
  <c r="BI28" i="184"/>
  <c r="BJ28" i="184"/>
  <c r="BK28" i="184"/>
  <c r="BL28" i="184"/>
  <c r="BM28" i="184"/>
  <c r="BN28" i="184"/>
  <c r="BO28" i="184"/>
  <c r="BP28" i="184"/>
  <c r="BQ28" i="184"/>
  <c r="BR28" i="184"/>
  <c r="BS28" i="184"/>
  <c r="BT28" i="184"/>
  <c r="BU28" i="184"/>
  <c r="BV28" i="184"/>
  <c r="BW28" i="184"/>
  <c r="BX28" i="184"/>
  <c r="BY28" i="184"/>
  <c r="BZ28" i="184"/>
  <c r="CA28" i="184"/>
  <c r="CB28" i="184"/>
  <c r="CC28" i="184"/>
  <c r="CD28" i="184"/>
  <c r="CE28" i="184"/>
  <c r="CF28" i="184"/>
  <c r="CG28" i="184"/>
  <c r="CH28" i="184"/>
  <c r="CI28" i="184"/>
  <c r="CJ28" i="184"/>
  <c r="CK28" i="184"/>
  <c r="CL28" i="184"/>
  <c r="CM28" i="184"/>
  <c r="CN28" i="184"/>
  <c r="CO28" i="184"/>
  <c r="CP28" i="184"/>
  <c r="CQ28" i="184"/>
  <c r="CR28" i="184"/>
  <c r="CS28" i="184"/>
  <c r="CT28" i="184"/>
  <c r="CU28" i="184"/>
  <c r="CV28" i="184"/>
  <c r="CW28" i="184"/>
  <c r="CX28" i="184"/>
  <c r="CY28" i="184"/>
  <c r="CZ28" i="184"/>
  <c r="DA28" i="184"/>
  <c r="DB28" i="184"/>
  <c r="DC28" i="184"/>
  <c r="DD28" i="184"/>
  <c r="DE28" i="184"/>
  <c r="DF28" i="184"/>
  <c r="DG28" i="184"/>
  <c r="DH28" i="184"/>
  <c r="DI28" i="184"/>
  <c r="DJ28" i="184"/>
  <c r="DK28" i="184"/>
  <c r="DL28" i="184"/>
  <c r="DM28" i="184"/>
  <c r="DN28" i="184"/>
  <c r="DO28" i="184"/>
  <c r="DP28" i="184"/>
  <c r="DQ28" i="184"/>
  <c r="DR28" i="184"/>
  <c r="DS28" i="184"/>
  <c r="DT28" i="184"/>
  <c r="DU28" i="184"/>
  <c r="DV28" i="184"/>
  <c r="DW28" i="184"/>
  <c r="DX28" i="184"/>
  <c r="DY28" i="184"/>
  <c r="DZ28" i="184"/>
  <c r="EA28" i="184"/>
  <c r="EB28" i="184"/>
  <c r="EC28" i="184"/>
  <c r="ED28" i="184"/>
  <c r="EE28" i="184"/>
  <c r="EF28" i="184"/>
  <c r="EG28" i="184"/>
  <c r="EH28" i="184"/>
  <c r="EI28" i="184"/>
  <c r="EJ28" i="184"/>
  <c r="EK28" i="184"/>
  <c r="EL28" i="184"/>
  <c r="EM28" i="184"/>
  <c r="EN28" i="184"/>
  <c r="EO28" i="184"/>
  <c r="EP28" i="184"/>
  <c r="EQ28" i="184"/>
  <c r="ER28" i="184"/>
  <c r="ES28" i="184"/>
  <c r="ET28" i="184"/>
  <c r="EU28" i="184"/>
  <c r="EV28" i="184"/>
  <c r="EW28" i="184"/>
  <c r="EX28" i="184"/>
  <c r="EY28" i="184"/>
  <c r="EZ28" i="184"/>
  <c r="FA28" i="184"/>
  <c r="FB28" i="184"/>
  <c r="FC28" i="184"/>
  <c r="FD28" i="184"/>
  <c r="FE28" i="184"/>
  <c r="FF28" i="184"/>
  <c r="FG28" i="184"/>
  <c r="FH28" i="184"/>
  <c r="FI28" i="184"/>
  <c r="FJ28" i="184"/>
  <c r="FK28" i="184"/>
  <c r="FL28" i="184"/>
  <c r="FM28" i="184"/>
  <c r="FN28" i="184"/>
  <c r="FO28" i="184"/>
  <c r="FP28" i="184"/>
  <c r="FQ28" i="184"/>
  <c r="FR28" i="184"/>
  <c r="FS28" i="184"/>
  <c r="FT28" i="184"/>
  <c r="FU28" i="184"/>
  <c r="FV28" i="184"/>
  <c r="FW28" i="184"/>
  <c r="FX28" i="184"/>
  <c r="FY28" i="184"/>
  <c r="FZ28" i="184"/>
  <c r="GA28" i="184"/>
  <c r="GB28" i="184"/>
  <c r="GC28" i="184"/>
  <c r="GD28" i="184"/>
  <c r="GE28" i="184"/>
  <c r="GF28" i="184"/>
  <c r="GG28" i="184"/>
  <c r="GH28" i="184"/>
  <c r="GI28" i="184"/>
  <c r="GJ28" i="184"/>
  <c r="GK28" i="184"/>
  <c r="GL28" i="184"/>
  <c r="GM28" i="184"/>
  <c r="GN28" i="184"/>
  <c r="GO28" i="184"/>
  <c r="GP28" i="184"/>
  <c r="GQ28" i="184"/>
  <c r="GR28" i="184"/>
  <c r="GS28" i="184"/>
  <c r="GT28" i="184"/>
  <c r="GU28" i="184"/>
  <c r="GV28" i="184"/>
  <c r="GW28" i="184"/>
  <c r="GX28" i="184"/>
  <c r="GY28" i="184"/>
  <c r="GZ28" i="184"/>
  <c r="HA28" i="184"/>
  <c r="HB28" i="184"/>
  <c r="HC28" i="184"/>
  <c r="HD28" i="184"/>
  <c r="HE28" i="184"/>
  <c r="HF28" i="184"/>
  <c r="HG28" i="184"/>
  <c r="HH28" i="184"/>
  <c r="HI28" i="184"/>
  <c r="HJ28" i="184"/>
  <c r="HK28" i="184"/>
  <c r="HL28" i="184"/>
  <c r="HM28" i="184"/>
  <c r="HN28" i="184"/>
  <c r="HO28" i="184"/>
  <c r="HP28" i="184"/>
  <c r="HQ28" i="184"/>
  <c r="HR28" i="184"/>
  <c r="HS28" i="184"/>
  <c r="HT28" i="184"/>
  <c r="HU28" i="184"/>
  <c r="HV28" i="184"/>
  <c r="HW28" i="184"/>
  <c r="HX28" i="184"/>
  <c r="HY28" i="184"/>
  <c r="HZ28" i="184"/>
  <c r="IA28" i="184"/>
  <c r="IB28" i="184"/>
  <c r="IC28" i="184"/>
  <c r="ID28" i="184"/>
  <c r="IE28" i="184"/>
  <c r="IF28" i="184"/>
  <c r="IG28" i="184"/>
  <c r="IH28" i="184"/>
  <c r="II28" i="184"/>
  <c r="IJ28" i="184"/>
  <c r="IK28" i="184"/>
  <c r="IL28" i="184"/>
  <c r="IM28" i="184"/>
  <c r="IN28" i="184"/>
  <c r="IO28" i="184"/>
  <c r="IP28" i="184"/>
  <c r="IQ28" i="184"/>
  <c r="IR28" i="184"/>
  <c r="IS28" i="184"/>
  <c r="IT28" i="184"/>
  <c r="IU28" i="184"/>
  <c r="IV28" i="184"/>
  <c r="A27" i="184"/>
  <c r="B27" i="184"/>
  <c r="C27" i="184"/>
  <c r="D27" i="184"/>
  <c r="E27" i="184"/>
  <c r="F27" i="184"/>
  <c r="G27" i="184"/>
  <c r="H27" i="184"/>
  <c r="I27" i="184"/>
  <c r="J27" i="184"/>
  <c r="K27" i="184"/>
  <c r="L27" i="184"/>
  <c r="M27" i="184"/>
  <c r="N27" i="184"/>
  <c r="O27" i="184"/>
  <c r="P27" i="184"/>
  <c r="Q27" i="184"/>
  <c r="R27" i="184"/>
  <c r="S27" i="184"/>
  <c r="T27" i="184"/>
  <c r="U27" i="184"/>
  <c r="V27" i="184"/>
  <c r="W27" i="184"/>
  <c r="X27" i="184"/>
  <c r="Y27" i="184"/>
  <c r="Z27" i="184"/>
  <c r="AA27" i="184"/>
  <c r="AB27" i="184"/>
  <c r="AC27" i="184"/>
  <c r="AD27" i="184"/>
  <c r="AE27" i="184"/>
  <c r="AF27" i="184"/>
  <c r="AG27" i="184"/>
  <c r="AH27" i="184"/>
  <c r="AI27" i="184"/>
  <c r="AJ27" i="184"/>
  <c r="AK27" i="184"/>
  <c r="AL27" i="184"/>
  <c r="AM27" i="184"/>
  <c r="AN27" i="184"/>
  <c r="AO27" i="184"/>
  <c r="AP27" i="184"/>
  <c r="AQ27" i="184"/>
  <c r="AR27" i="184"/>
  <c r="AS27" i="184"/>
  <c r="AT27" i="184"/>
  <c r="AU27" i="184"/>
  <c r="AV27" i="184"/>
  <c r="AW27" i="184"/>
  <c r="AX27" i="184"/>
  <c r="AY27" i="184"/>
  <c r="AZ27" i="184"/>
  <c r="BA27" i="184"/>
  <c r="BB27" i="184"/>
  <c r="BC27" i="184"/>
  <c r="BD27" i="184"/>
  <c r="BE27" i="184"/>
  <c r="BF27" i="184"/>
  <c r="BG27" i="184"/>
  <c r="BH27" i="184"/>
  <c r="BI27" i="184"/>
  <c r="BJ27" i="184"/>
  <c r="BK27" i="184"/>
  <c r="BL27" i="184"/>
  <c r="BM27" i="184"/>
  <c r="BN27" i="184"/>
  <c r="BO27" i="184"/>
  <c r="BP27" i="184"/>
  <c r="BQ27" i="184"/>
  <c r="BR27" i="184"/>
  <c r="BS27" i="184"/>
  <c r="BT27" i="184"/>
  <c r="BU27" i="184"/>
  <c r="BV27" i="184"/>
  <c r="BW27" i="184"/>
  <c r="BX27" i="184"/>
  <c r="BY27" i="184"/>
  <c r="BZ27" i="184"/>
  <c r="CA27" i="184"/>
  <c r="CB27" i="184"/>
  <c r="CC27" i="184"/>
  <c r="CD27" i="184"/>
  <c r="CE27" i="184"/>
  <c r="CF27" i="184"/>
  <c r="CG27" i="184"/>
  <c r="CH27" i="184"/>
  <c r="CI27" i="184"/>
  <c r="CJ27" i="184"/>
  <c r="CK27" i="184"/>
  <c r="CL27" i="184"/>
  <c r="CU27" i="184"/>
  <c r="CX27" i="184"/>
  <c r="CY27" i="184"/>
  <c r="CZ27" i="184"/>
  <c r="DA27" i="184"/>
  <c r="DB27" i="184"/>
  <c r="DC27" i="184"/>
  <c r="DD27" i="184"/>
  <c r="DE27" i="184"/>
  <c r="DF27" i="184"/>
  <c r="DG27" i="184"/>
  <c r="DH27" i="184"/>
  <c r="DI27" i="184"/>
  <c r="DJ27" i="184"/>
  <c r="DK27" i="184"/>
  <c r="DL27" i="184"/>
  <c r="DM27" i="184"/>
  <c r="DN27" i="184"/>
  <c r="DO27" i="184"/>
  <c r="DP27" i="184"/>
  <c r="DQ27" i="184"/>
  <c r="DR27" i="184"/>
  <c r="DS27" i="184"/>
  <c r="DT27" i="184"/>
  <c r="DU27" i="184"/>
  <c r="DV27" i="184"/>
  <c r="DW27" i="184"/>
  <c r="DX27" i="184"/>
  <c r="DY27" i="184"/>
  <c r="DZ27" i="184"/>
  <c r="EA27" i="184"/>
  <c r="EB27" i="184"/>
  <c r="EC27" i="184"/>
  <c r="ED27" i="184"/>
  <c r="EE27" i="184"/>
  <c r="EF27" i="184"/>
  <c r="EG27" i="184"/>
  <c r="EH27" i="184"/>
  <c r="EI27" i="184"/>
  <c r="EJ27" i="184"/>
  <c r="EK27" i="184"/>
  <c r="EL27" i="184"/>
  <c r="EM27" i="184"/>
  <c r="EN27" i="184"/>
  <c r="EO27" i="184"/>
  <c r="EP27" i="184"/>
  <c r="EQ27" i="184"/>
  <c r="ER27" i="184"/>
  <c r="ES27" i="184"/>
  <c r="ET27" i="184"/>
  <c r="EU27" i="184"/>
  <c r="EV27" i="184"/>
  <c r="EW27" i="184"/>
  <c r="EX27" i="184"/>
  <c r="EY27" i="184"/>
  <c r="EZ27" i="184"/>
  <c r="FA27" i="184"/>
  <c r="FB27" i="184"/>
  <c r="FC27" i="184"/>
  <c r="FD27" i="184"/>
  <c r="FE27" i="184"/>
  <c r="FF27" i="184"/>
  <c r="FG27" i="184"/>
  <c r="FH27" i="184"/>
  <c r="FI27" i="184"/>
  <c r="FJ27" i="184"/>
  <c r="FK27" i="184"/>
  <c r="FL27" i="184"/>
  <c r="FM27" i="184"/>
  <c r="FN27" i="184"/>
  <c r="FO27" i="184"/>
  <c r="FP27" i="184"/>
  <c r="FQ27" i="184"/>
  <c r="FR27" i="184"/>
  <c r="FS27" i="184"/>
  <c r="FT27" i="184"/>
  <c r="FU27" i="184"/>
  <c r="FV27" i="184"/>
  <c r="FW27" i="184"/>
  <c r="FX27" i="184"/>
  <c r="FY27" i="184"/>
  <c r="FZ27" i="184"/>
  <c r="GA27" i="184"/>
  <c r="GB27" i="184"/>
  <c r="GC27" i="184"/>
  <c r="GD27" i="184"/>
  <c r="GE27" i="184"/>
  <c r="GF27" i="184"/>
  <c r="GG27" i="184"/>
  <c r="GH27" i="184"/>
  <c r="GI27" i="184"/>
  <c r="GJ27" i="184"/>
  <c r="GK27" i="184"/>
  <c r="GL27" i="184"/>
  <c r="GM27" i="184"/>
  <c r="GN27" i="184"/>
  <c r="GO27" i="184"/>
  <c r="GP27" i="184"/>
  <c r="GQ27" i="184"/>
  <c r="GR27" i="184"/>
  <c r="GS27" i="184"/>
  <c r="GT27" i="184"/>
  <c r="GU27" i="184"/>
  <c r="GV27" i="184"/>
  <c r="GW27" i="184"/>
  <c r="GX27" i="184"/>
  <c r="GY27" i="184"/>
  <c r="GZ27" i="184"/>
  <c r="HA27" i="184"/>
  <c r="HB27" i="184"/>
  <c r="HC27" i="184"/>
  <c r="HD27" i="184"/>
  <c r="HE27" i="184"/>
  <c r="HF27" i="184"/>
  <c r="HG27" i="184"/>
  <c r="HH27" i="184"/>
  <c r="HI27" i="184"/>
  <c r="HJ27" i="184"/>
  <c r="HK27" i="184"/>
  <c r="HL27" i="184"/>
  <c r="HM27" i="184"/>
  <c r="HN27" i="184"/>
  <c r="HO27" i="184"/>
  <c r="HP27" i="184"/>
  <c r="HQ27" i="184"/>
  <c r="HR27" i="184"/>
  <c r="HS27" i="184"/>
  <c r="HT27" i="184"/>
  <c r="HU27" i="184"/>
  <c r="HV27" i="184"/>
  <c r="HW27" i="184"/>
  <c r="HX27" i="184"/>
  <c r="HY27" i="184"/>
  <c r="HZ27" i="184"/>
  <c r="IA27" i="184"/>
  <c r="IB27" i="184"/>
  <c r="IC27" i="184"/>
  <c r="ID27" i="184"/>
  <c r="IE27" i="184"/>
  <c r="IF27" i="184"/>
  <c r="IG27" i="184"/>
  <c r="IH27" i="184"/>
  <c r="II27" i="184"/>
  <c r="IJ27" i="184"/>
  <c r="IK27" i="184"/>
  <c r="IL27" i="184"/>
  <c r="IM27" i="184"/>
  <c r="IN27" i="184"/>
  <c r="IO27" i="184"/>
  <c r="IP27" i="184"/>
  <c r="IQ27" i="184"/>
  <c r="IR27" i="184"/>
  <c r="IS27" i="184"/>
  <c r="IT27" i="184"/>
  <c r="IU27" i="184"/>
  <c r="IV27" i="184"/>
  <c r="A26" i="184"/>
  <c r="B26" i="184"/>
  <c r="C26" i="184"/>
  <c r="D26" i="184"/>
  <c r="E26" i="184"/>
  <c r="F26" i="184"/>
  <c r="G26" i="184"/>
  <c r="H26" i="184"/>
  <c r="I26" i="184"/>
  <c r="J26" i="184"/>
  <c r="K26" i="184"/>
  <c r="L26" i="184"/>
  <c r="M26" i="184"/>
  <c r="N26" i="184"/>
  <c r="O26" i="184"/>
  <c r="P26" i="184"/>
  <c r="Q26" i="184"/>
  <c r="R26" i="184"/>
  <c r="S26" i="184"/>
  <c r="U26" i="184"/>
  <c r="V26" i="184"/>
  <c r="W26" i="184"/>
  <c r="X26" i="184"/>
  <c r="Y26" i="184"/>
  <c r="Z26" i="184"/>
  <c r="AA26" i="184"/>
  <c r="AB26" i="184"/>
  <c r="AC26" i="184"/>
  <c r="AD26" i="184"/>
  <c r="AE26" i="184"/>
  <c r="AF26" i="184"/>
  <c r="AG26" i="184"/>
  <c r="AH26" i="184"/>
  <c r="AI26" i="184"/>
  <c r="AJ26" i="184"/>
  <c r="AK26" i="184"/>
  <c r="AL26" i="184"/>
  <c r="AM26" i="184"/>
  <c r="AN26" i="184"/>
  <c r="AO26" i="184"/>
  <c r="AP26" i="184"/>
  <c r="AQ26" i="184"/>
  <c r="AR26" i="184"/>
  <c r="AS26" i="184"/>
  <c r="AT26" i="184"/>
  <c r="AU26" i="184"/>
  <c r="AV26" i="184"/>
  <c r="AW26" i="184"/>
  <c r="AX26" i="184"/>
  <c r="AY26" i="184"/>
  <c r="AZ26" i="184"/>
  <c r="BA26" i="184"/>
  <c r="BB26" i="184"/>
  <c r="BC26" i="184"/>
  <c r="BD26" i="184"/>
  <c r="BE26" i="184"/>
  <c r="BF26" i="184"/>
  <c r="BG26" i="184"/>
  <c r="BH26" i="184"/>
  <c r="BI26" i="184"/>
  <c r="BJ26" i="184"/>
  <c r="BK26" i="184"/>
  <c r="BL26" i="184"/>
  <c r="BM26" i="184"/>
  <c r="BN26" i="184"/>
  <c r="BO26" i="184"/>
  <c r="BP26" i="184"/>
  <c r="BQ26" i="184"/>
  <c r="BR26" i="184"/>
  <c r="BS26" i="184"/>
  <c r="BT26" i="184"/>
  <c r="BU26" i="184"/>
  <c r="BV26" i="184"/>
  <c r="BW26" i="184"/>
  <c r="BX26" i="184"/>
  <c r="BY26" i="184"/>
  <c r="BZ26" i="184"/>
  <c r="CA26" i="184"/>
  <c r="CB26" i="184"/>
  <c r="CC26" i="184"/>
  <c r="CD26" i="184"/>
  <c r="CE26" i="184"/>
  <c r="CF26" i="184"/>
  <c r="CG26" i="184"/>
  <c r="CH26" i="184"/>
  <c r="CI26" i="184"/>
  <c r="CJ26" i="184"/>
  <c r="CK26" i="184"/>
  <c r="CL26" i="184"/>
  <c r="CM26" i="184"/>
  <c r="CN26" i="184"/>
  <c r="CO26" i="184"/>
  <c r="CP26" i="184"/>
  <c r="CQ26" i="184"/>
  <c r="CR26" i="184"/>
  <c r="CS26" i="184"/>
  <c r="CT26" i="184"/>
  <c r="CU26" i="184"/>
  <c r="CV26" i="184"/>
  <c r="CW26" i="184"/>
  <c r="CX26" i="184"/>
  <c r="CY26" i="184"/>
  <c r="CZ26" i="184"/>
  <c r="DA26" i="184"/>
  <c r="DB26" i="184"/>
  <c r="DC26" i="184"/>
  <c r="DD26" i="184"/>
  <c r="DE26" i="184"/>
  <c r="DF26" i="184"/>
  <c r="DG26" i="184"/>
  <c r="DH26" i="184"/>
  <c r="DI26" i="184"/>
  <c r="DJ26" i="184"/>
  <c r="DK26" i="184"/>
  <c r="DL26" i="184"/>
  <c r="DM26" i="184"/>
  <c r="DN26" i="184"/>
  <c r="DO26" i="184"/>
  <c r="DP26" i="184"/>
  <c r="DQ26" i="184"/>
  <c r="DR26" i="184"/>
  <c r="DS26" i="184"/>
  <c r="DT26" i="184"/>
  <c r="DU26" i="184"/>
  <c r="DV26" i="184"/>
  <c r="DW26" i="184"/>
  <c r="DX26" i="184"/>
  <c r="DY26" i="184"/>
  <c r="DZ26" i="184"/>
  <c r="EA26" i="184"/>
  <c r="EB26" i="184"/>
  <c r="EC26" i="184"/>
  <c r="ED26" i="184"/>
  <c r="EE26" i="184"/>
  <c r="EF26" i="184"/>
  <c r="EG26" i="184"/>
  <c r="EH26" i="184"/>
  <c r="EI26" i="184"/>
  <c r="EJ26" i="184"/>
  <c r="EK26" i="184"/>
  <c r="EL26" i="184"/>
  <c r="EM26" i="184"/>
  <c r="EN26" i="184"/>
  <c r="EO26" i="184"/>
  <c r="EP26" i="184"/>
  <c r="EQ26" i="184"/>
  <c r="ER26" i="184"/>
  <c r="ES26" i="184"/>
  <c r="ET26" i="184"/>
  <c r="EU26" i="184"/>
  <c r="EV26" i="184"/>
  <c r="EW26" i="184"/>
  <c r="EX26" i="184"/>
  <c r="EY26" i="184"/>
  <c r="EZ26" i="184"/>
  <c r="FA26" i="184"/>
  <c r="FB26" i="184"/>
  <c r="FC26" i="184"/>
  <c r="FD26" i="184"/>
  <c r="FE26" i="184"/>
  <c r="FF26" i="184"/>
  <c r="FG26" i="184"/>
  <c r="FH26" i="184"/>
  <c r="FI26" i="184"/>
  <c r="FJ26" i="184"/>
  <c r="FK26" i="184"/>
  <c r="FL26" i="184"/>
  <c r="FM26" i="184"/>
  <c r="FN26" i="184"/>
  <c r="FO26" i="184"/>
  <c r="FP26" i="184"/>
  <c r="FQ26" i="184"/>
  <c r="FR26" i="184"/>
  <c r="FS26" i="184"/>
  <c r="FT26" i="184"/>
  <c r="FU26" i="184"/>
  <c r="FV26" i="184"/>
  <c r="FW26" i="184"/>
  <c r="FX26" i="184"/>
  <c r="FY26" i="184"/>
  <c r="FZ26" i="184"/>
  <c r="GA26" i="184"/>
  <c r="GB26" i="184"/>
  <c r="GC26" i="184"/>
  <c r="GD26" i="184"/>
  <c r="GE26" i="184"/>
  <c r="GF26" i="184"/>
  <c r="GG26" i="184"/>
  <c r="GH26" i="184"/>
  <c r="GI26" i="184"/>
  <c r="GJ26" i="184"/>
  <c r="GK26" i="184"/>
  <c r="GL26" i="184"/>
  <c r="GM26" i="184"/>
  <c r="GN26" i="184"/>
  <c r="GO26" i="184"/>
  <c r="GP26" i="184"/>
  <c r="GQ26" i="184"/>
  <c r="GR26" i="184"/>
  <c r="GS26" i="184"/>
  <c r="GT26" i="184"/>
  <c r="GU26" i="184"/>
  <c r="GV26" i="184"/>
  <c r="GW26" i="184"/>
  <c r="GX26" i="184"/>
  <c r="GY26" i="184"/>
  <c r="GZ26" i="184"/>
  <c r="HA26" i="184"/>
  <c r="HB26" i="184"/>
  <c r="HC26" i="184"/>
  <c r="HD26" i="184"/>
  <c r="HE26" i="184"/>
  <c r="HF26" i="184"/>
  <c r="HG26" i="184"/>
  <c r="HH26" i="184"/>
  <c r="HI26" i="184"/>
  <c r="HJ26" i="184"/>
  <c r="HK26" i="184"/>
  <c r="HL26" i="184"/>
  <c r="HM26" i="184"/>
  <c r="HN26" i="184"/>
  <c r="HO26" i="184"/>
  <c r="HP26" i="184"/>
  <c r="HQ26" i="184"/>
  <c r="HR26" i="184"/>
  <c r="HS26" i="184"/>
  <c r="HT26" i="184"/>
  <c r="HU26" i="184"/>
  <c r="HV26" i="184"/>
  <c r="HW26" i="184"/>
  <c r="HX26" i="184"/>
  <c r="HY26" i="184"/>
  <c r="HZ26" i="184"/>
  <c r="IA26" i="184"/>
  <c r="IB26" i="184"/>
  <c r="IC26" i="184"/>
  <c r="ID26" i="184"/>
  <c r="IE26" i="184"/>
  <c r="IF26" i="184"/>
  <c r="IG26" i="184"/>
  <c r="IH26" i="184"/>
  <c r="II26" i="184"/>
  <c r="IJ26" i="184"/>
  <c r="IK26" i="184"/>
  <c r="IL26" i="184"/>
  <c r="IM26" i="184"/>
  <c r="IN26" i="184"/>
  <c r="IO26" i="184"/>
  <c r="IP26" i="184"/>
  <c r="IQ26" i="184"/>
  <c r="IR26" i="184"/>
  <c r="IS26" i="184"/>
  <c r="IT26" i="184"/>
  <c r="IU26" i="184"/>
  <c r="IV26" i="184"/>
  <c r="A25" i="184"/>
  <c r="B25" i="184"/>
  <c r="C25" i="184"/>
  <c r="D25" i="184"/>
  <c r="E25" i="184"/>
  <c r="G25" i="184"/>
  <c r="H25" i="184"/>
  <c r="I25" i="184"/>
  <c r="J25" i="184"/>
  <c r="K25" i="184"/>
  <c r="L25" i="184"/>
  <c r="M25" i="184"/>
  <c r="N25" i="184"/>
  <c r="O25" i="184"/>
  <c r="P25" i="184"/>
  <c r="Q25" i="184"/>
  <c r="R25" i="184"/>
  <c r="S25" i="184"/>
  <c r="T25" i="184"/>
  <c r="U25" i="184"/>
  <c r="V25" i="184"/>
  <c r="W25" i="184"/>
  <c r="X25" i="184"/>
  <c r="Y25" i="184"/>
  <c r="Z25" i="184"/>
  <c r="AA25" i="184"/>
  <c r="AB25" i="184"/>
  <c r="AC25" i="184"/>
  <c r="AD25" i="184"/>
  <c r="AE25" i="184"/>
  <c r="AF25" i="184"/>
  <c r="AG25" i="184"/>
  <c r="AH25" i="184"/>
  <c r="AI25" i="184"/>
  <c r="AJ25" i="184"/>
  <c r="AK25" i="184"/>
  <c r="AL25" i="184"/>
  <c r="AM25" i="184"/>
  <c r="AN25" i="184"/>
  <c r="AO25" i="184"/>
  <c r="AP25" i="184"/>
  <c r="AQ25" i="184"/>
  <c r="AR25" i="184"/>
  <c r="AS25" i="184"/>
  <c r="AT25" i="184"/>
  <c r="AU25" i="184"/>
  <c r="AV25" i="184"/>
  <c r="AW25" i="184"/>
  <c r="AX25" i="184"/>
  <c r="AY25" i="184"/>
  <c r="AZ25" i="184"/>
  <c r="BA25" i="184"/>
  <c r="BB25" i="184"/>
  <c r="BC25" i="184"/>
  <c r="BD25" i="184"/>
  <c r="BE25" i="184"/>
  <c r="BF25" i="184"/>
  <c r="BG25" i="184"/>
  <c r="BH25" i="184"/>
  <c r="BI25" i="184"/>
  <c r="BJ25" i="184"/>
  <c r="BK25" i="184"/>
  <c r="BL25" i="184"/>
  <c r="BM25" i="184"/>
  <c r="BN25" i="184"/>
  <c r="BO25" i="184"/>
  <c r="BP25" i="184"/>
  <c r="BQ25" i="184"/>
  <c r="BR25" i="184"/>
  <c r="BS25" i="184"/>
  <c r="BT25" i="184"/>
  <c r="BU25" i="184"/>
  <c r="BV25" i="184"/>
  <c r="BW25" i="184"/>
  <c r="BX25" i="184"/>
  <c r="BY25" i="184"/>
  <c r="BZ25" i="184"/>
  <c r="CA25" i="184"/>
  <c r="CB25" i="184"/>
  <c r="CC25" i="184"/>
  <c r="CD25" i="184"/>
  <c r="CE25" i="184"/>
  <c r="CF25" i="184"/>
  <c r="CG25" i="184"/>
  <c r="CH25" i="184"/>
  <c r="CI25" i="184"/>
  <c r="CJ25" i="184"/>
  <c r="CK25" i="184"/>
  <c r="CL25" i="184"/>
  <c r="CM25" i="184"/>
  <c r="CN25" i="184"/>
  <c r="CO25" i="184"/>
  <c r="CP25" i="184"/>
  <c r="CQ25" i="184"/>
  <c r="CR25" i="184"/>
  <c r="CS25" i="184"/>
  <c r="CT25" i="184"/>
  <c r="CU25" i="184"/>
  <c r="CV25" i="184"/>
  <c r="CW25" i="184"/>
  <c r="CX25" i="184"/>
  <c r="CY25" i="184"/>
  <c r="CZ25" i="184"/>
  <c r="DA25" i="184"/>
  <c r="DB25" i="184"/>
  <c r="DC25" i="184"/>
  <c r="DD25" i="184"/>
  <c r="DE25" i="184"/>
  <c r="DF25" i="184"/>
  <c r="DG25" i="184"/>
  <c r="DH25" i="184"/>
  <c r="DI25" i="184"/>
  <c r="DJ25" i="184"/>
  <c r="DK25" i="184"/>
  <c r="DL25" i="184"/>
  <c r="DM25" i="184"/>
  <c r="DN25" i="184"/>
  <c r="DO25" i="184"/>
  <c r="DP25" i="184"/>
  <c r="DQ25" i="184"/>
  <c r="DR25" i="184"/>
  <c r="DS25" i="184"/>
  <c r="DT25" i="184"/>
  <c r="DU25" i="184"/>
  <c r="DV25" i="184"/>
  <c r="DW25" i="184"/>
  <c r="DX25" i="184"/>
  <c r="DY25" i="184"/>
  <c r="DZ25" i="184"/>
  <c r="EA25" i="184"/>
  <c r="EB25" i="184"/>
  <c r="EC25" i="184"/>
  <c r="ED25" i="184"/>
  <c r="EE25" i="184"/>
  <c r="EF25" i="184"/>
  <c r="EG25" i="184"/>
  <c r="EH25" i="184"/>
  <c r="EI25" i="184"/>
  <c r="EJ25" i="184"/>
  <c r="EK25" i="184"/>
  <c r="EL25" i="184"/>
  <c r="EM25" i="184"/>
  <c r="EN25" i="184"/>
  <c r="EO25" i="184"/>
  <c r="EP25" i="184"/>
  <c r="EQ25" i="184"/>
  <c r="ER25" i="184"/>
  <c r="ES25" i="184"/>
  <c r="ET25" i="184"/>
  <c r="EU25" i="184"/>
  <c r="EV25" i="184"/>
  <c r="EW25" i="184"/>
  <c r="EX25" i="184"/>
  <c r="EY25" i="184"/>
  <c r="EZ25" i="184"/>
  <c r="FA25" i="184"/>
  <c r="FB25" i="184"/>
  <c r="FC25" i="184"/>
  <c r="FD25" i="184"/>
  <c r="FE25" i="184"/>
  <c r="FF25" i="184"/>
  <c r="FG25" i="184"/>
  <c r="FH25" i="184"/>
  <c r="FI25" i="184"/>
  <c r="FJ25" i="184"/>
  <c r="FK25" i="184"/>
  <c r="FL25" i="184"/>
  <c r="FM25" i="184"/>
  <c r="FN25" i="184"/>
  <c r="FO25" i="184"/>
  <c r="FP25" i="184"/>
  <c r="FQ25" i="184"/>
  <c r="FR25" i="184"/>
  <c r="FS25" i="184"/>
  <c r="FT25" i="184"/>
  <c r="FU25" i="184"/>
  <c r="FV25" i="184"/>
  <c r="FW25" i="184"/>
  <c r="FX25" i="184"/>
  <c r="FY25" i="184"/>
  <c r="FZ25" i="184"/>
  <c r="GA25" i="184"/>
  <c r="GB25" i="184"/>
  <c r="GC25" i="184"/>
  <c r="GD25" i="184"/>
  <c r="GE25" i="184"/>
  <c r="GF25" i="184"/>
  <c r="GG25" i="184"/>
  <c r="GH25" i="184"/>
  <c r="GI25" i="184"/>
  <c r="GJ25" i="184"/>
  <c r="GK25" i="184"/>
  <c r="GL25" i="184"/>
  <c r="GM25" i="184"/>
  <c r="GN25" i="184"/>
  <c r="GO25" i="184"/>
  <c r="GP25" i="184"/>
  <c r="GQ25" i="184"/>
  <c r="GR25" i="184"/>
  <c r="GS25" i="184"/>
  <c r="GT25" i="184"/>
  <c r="GU25" i="184"/>
  <c r="GV25" i="184"/>
  <c r="GW25" i="184"/>
  <c r="GX25" i="184"/>
  <c r="GY25" i="184"/>
  <c r="GZ25" i="184"/>
  <c r="HA25" i="184"/>
  <c r="HB25" i="184"/>
  <c r="HC25" i="184"/>
  <c r="HD25" i="184"/>
  <c r="HE25" i="184"/>
  <c r="HF25" i="184"/>
  <c r="HG25" i="184"/>
  <c r="HH25" i="184"/>
  <c r="HI25" i="184"/>
  <c r="HJ25" i="184"/>
  <c r="HK25" i="184"/>
  <c r="HL25" i="184"/>
  <c r="HM25" i="184"/>
  <c r="HN25" i="184"/>
  <c r="HO25" i="184"/>
  <c r="HP25" i="184"/>
  <c r="HQ25" i="184"/>
  <c r="HR25" i="184"/>
  <c r="HS25" i="184"/>
  <c r="HT25" i="184"/>
  <c r="HU25" i="184"/>
  <c r="HV25" i="184"/>
  <c r="HW25" i="184"/>
  <c r="HX25" i="184"/>
  <c r="HY25" i="184"/>
  <c r="HZ25" i="184"/>
  <c r="IA25" i="184"/>
  <c r="IB25" i="184"/>
  <c r="IC25" i="184"/>
  <c r="ID25" i="184"/>
  <c r="IE25" i="184"/>
  <c r="IF25" i="184"/>
  <c r="IG25" i="184"/>
  <c r="IH25" i="184"/>
  <c r="II25" i="184"/>
  <c r="IJ25" i="184"/>
  <c r="IK25" i="184"/>
  <c r="IL25" i="184"/>
  <c r="IM25" i="184"/>
  <c r="IN25" i="184"/>
  <c r="IO25" i="184"/>
  <c r="IP25" i="184"/>
  <c r="IQ25" i="184"/>
  <c r="IR25" i="184"/>
  <c r="IS25" i="184"/>
  <c r="IT25" i="184"/>
  <c r="IU25" i="184"/>
  <c r="IV25" i="184"/>
  <c r="A24" i="184"/>
  <c r="B24" i="184"/>
  <c r="C24" i="184"/>
  <c r="D24" i="184"/>
  <c r="E24" i="184"/>
  <c r="F24" i="184"/>
  <c r="G24" i="184"/>
  <c r="H24" i="184"/>
  <c r="I24" i="184"/>
  <c r="J24" i="184"/>
  <c r="K24" i="184"/>
  <c r="L24" i="184"/>
  <c r="M24" i="184"/>
  <c r="N24" i="184"/>
  <c r="O24" i="184"/>
  <c r="P24" i="184"/>
  <c r="Q24" i="184"/>
  <c r="R24" i="184"/>
  <c r="S24" i="184"/>
  <c r="T24" i="184"/>
  <c r="U24" i="184"/>
  <c r="V24" i="184"/>
  <c r="W24" i="184"/>
  <c r="X24" i="184"/>
  <c r="Y24" i="184"/>
  <c r="Z24" i="184"/>
  <c r="AA24" i="184"/>
  <c r="AB24" i="184"/>
  <c r="AC24" i="184"/>
  <c r="AD24" i="184"/>
  <c r="AE24" i="184"/>
  <c r="AF24" i="184"/>
  <c r="AG24" i="184"/>
  <c r="AH24" i="184"/>
  <c r="AI24" i="184"/>
  <c r="AJ24" i="184"/>
  <c r="AK24" i="184"/>
  <c r="AL24" i="184"/>
  <c r="AM24" i="184"/>
  <c r="AN24" i="184"/>
  <c r="AO24" i="184"/>
  <c r="AP24" i="184"/>
  <c r="AQ24" i="184"/>
  <c r="AR24" i="184"/>
  <c r="AS24" i="184"/>
  <c r="AT24" i="184"/>
  <c r="AU24" i="184"/>
  <c r="AV24" i="184"/>
  <c r="AW24" i="184"/>
  <c r="AX24" i="184"/>
  <c r="AY24" i="184"/>
  <c r="AZ24" i="184"/>
  <c r="BA24" i="184"/>
  <c r="BB24" i="184"/>
  <c r="BC24" i="184"/>
  <c r="BD24" i="184"/>
  <c r="BE24" i="184"/>
  <c r="BF24" i="184"/>
  <c r="BG24" i="184"/>
  <c r="BH24" i="184"/>
  <c r="BI24" i="184"/>
  <c r="BJ24" i="184"/>
  <c r="BK24" i="184"/>
  <c r="BL24" i="184"/>
  <c r="BM24" i="184"/>
  <c r="BN24" i="184"/>
  <c r="BO24" i="184"/>
  <c r="BP24" i="184"/>
  <c r="BQ24" i="184"/>
  <c r="BR24" i="184"/>
  <c r="BS24" i="184"/>
  <c r="BT24" i="184"/>
  <c r="BU24" i="184"/>
  <c r="BV24" i="184"/>
  <c r="BW24" i="184"/>
  <c r="BX24" i="184"/>
  <c r="BY24" i="184"/>
  <c r="BZ24" i="184"/>
  <c r="CA24" i="184"/>
  <c r="CB24" i="184"/>
  <c r="CC24" i="184"/>
  <c r="CD24" i="184"/>
  <c r="CE24" i="184"/>
  <c r="CF24" i="184"/>
  <c r="CG24" i="184"/>
  <c r="CH24" i="184"/>
  <c r="CI24" i="184"/>
  <c r="CJ24" i="184"/>
  <c r="CK24" i="184"/>
  <c r="CL24" i="184"/>
  <c r="CM24" i="184"/>
  <c r="CN24" i="184"/>
  <c r="CO24" i="184"/>
  <c r="CP24" i="184"/>
  <c r="CQ24" i="184"/>
  <c r="CR24" i="184"/>
  <c r="CS24" i="184"/>
  <c r="CT24" i="184"/>
  <c r="CU24" i="184"/>
  <c r="CV24" i="184"/>
  <c r="CW24" i="184"/>
  <c r="CX24" i="184"/>
  <c r="CY24" i="184"/>
  <c r="CZ24" i="184"/>
  <c r="DA24" i="184"/>
  <c r="DB24" i="184"/>
  <c r="DC24" i="184"/>
  <c r="DD24" i="184"/>
  <c r="DE24" i="184"/>
  <c r="DF24" i="184"/>
  <c r="DG24" i="184"/>
  <c r="DH24" i="184"/>
  <c r="DI24" i="184"/>
  <c r="DJ24" i="184"/>
  <c r="DK24" i="184"/>
  <c r="DL24" i="184"/>
  <c r="DM24" i="184"/>
  <c r="DN24" i="184"/>
  <c r="DO24" i="184"/>
  <c r="DP24" i="184"/>
  <c r="DQ24" i="184"/>
  <c r="DR24" i="184"/>
  <c r="DS24" i="184"/>
  <c r="DT24" i="184"/>
  <c r="DU24" i="184"/>
  <c r="DV24" i="184"/>
  <c r="DW24" i="184"/>
  <c r="DX24" i="184"/>
  <c r="DY24" i="184"/>
  <c r="DZ24" i="184"/>
  <c r="EA24" i="184"/>
  <c r="EB24" i="184"/>
  <c r="EC24" i="184"/>
  <c r="ED24" i="184"/>
  <c r="EE24" i="184"/>
  <c r="EF24" i="184"/>
  <c r="EG24" i="184"/>
  <c r="EH24" i="184"/>
  <c r="EI24" i="184"/>
  <c r="EJ24" i="184"/>
  <c r="EK24" i="184"/>
  <c r="EL24" i="184"/>
  <c r="EM24" i="184"/>
  <c r="EN24" i="184"/>
  <c r="EO24" i="184"/>
  <c r="EP24" i="184"/>
  <c r="EQ24" i="184"/>
  <c r="ER24" i="184"/>
  <c r="ES24" i="184"/>
  <c r="ET24" i="184"/>
  <c r="EU24" i="184"/>
  <c r="EV24" i="184"/>
  <c r="EW24" i="184"/>
  <c r="EX24" i="184"/>
  <c r="EY24" i="184"/>
  <c r="EZ24" i="184"/>
  <c r="FA24" i="184"/>
  <c r="FB24" i="184"/>
  <c r="FC24" i="184"/>
  <c r="FD24" i="184"/>
  <c r="FE24" i="184"/>
  <c r="FF24" i="184"/>
  <c r="FG24" i="184"/>
  <c r="FH24" i="184"/>
  <c r="FI24" i="184"/>
  <c r="FJ24" i="184"/>
  <c r="FK24" i="184"/>
  <c r="FL24" i="184"/>
  <c r="FM24" i="184"/>
  <c r="FN24" i="184"/>
  <c r="FO24" i="184"/>
  <c r="FP24" i="184"/>
  <c r="FQ24" i="184"/>
  <c r="FR24" i="184"/>
  <c r="FS24" i="184"/>
  <c r="FT24" i="184"/>
  <c r="FU24" i="184"/>
  <c r="FV24" i="184"/>
  <c r="FW24" i="184"/>
  <c r="FX24" i="184"/>
  <c r="FY24" i="184"/>
  <c r="FZ24" i="184"/>
  <c r="GA24" i="184"/>
  <c r="GB24" i="184"/>
  <c r="GC24" i="184"/>
  <c r="GD24" i="184"/>
  <c r="GE24" i="184"/>
  <c r="GF24" i="184"/>
  <c r="GG24" i="184"/>
  <c r="GH24" i="184"/>
  <c r="GI24" i="184"/>
  <c r="GJ24" i="184"/>
  <c r="GK24" i="184"/>
  <c r="GL24" i="184"/>
  <c r="GM24" i="184"/>
  <c r="GN24" i="184"/>
  <c r="GO24" i="184"/>
  <c r="GP24" i="184"/>
  <c r="GQ24" i="184"/>
  <c r="GR24" i="184"/>
  <c r="GS24" i="184"/>
  <c r="GT24" i="184"/>
  <c r="GU24" i="184"/>
  <c r="GV24" i="184"/>
  <c r="GW24" i="184"/>
  <c r="GX24" i="184"/>
  <c r="GY24" i="184"/>
  <c r="GZ24" i="184"/>
  <c r="HA24" i="184"/>
  <c r="HB24" i="184"/>
  <c r="HC24" i="184"/>
  <c r="HD24" i="184"/>
  <c r="HE24" i="184"/>
  <c r="HF24" i="184"/>
  <c r="HG24" i="184"/>
  <c r="HH24" i="184"/>
  <c r="HI24" i="184"/>
  <c r="HJ24" i="184"/>
  <c r="HK24" i="184"/>
  <c r="HL24" i="184"/>
  <c r="HM24" i="184"/>
  <c r="HN24" i="184"/>
  <c r="HO24" i="184"/>
  <c r="HP24" i="184"/>
  <c r="HQ24" i="184"/>
  <c r="HR24" i="184"/>
  <c r="HS24" i="184"/>
  <c r="HT24" i="184"/>
  <c r="HU24" i="184"/>
  <c r="HV24" i="184"/>
  <c r="HW24" i="184"/>
  <c r="HX24" i="184"/>
  <c r="HY24" i="184"/>
  <c r="HZ24" i="184"/>
  <c r="IA24" i="184"/>
  <c r="IB24" i="184"/>
  <c r="IC24" i="184"/>
  <c r="ID24" i="184"/>
  <c r="IE24" i="184"/>
  <c r="IF24" i="184"/>
  <c r="IG24" i="184"/>
  <c r="IH24" i="184"/>
  <c r="II24" i="184"/>
  <c r="IJ24" i="184"/>
  <c r="IK24" i="184"/>
  <c r="IL24" i="184"/>
  <c r="IM24" i="184"/>
  <c r="IN24" i="184"/>
  <c r="IO24" i="184"/>
  <c r="IP24" i="184"/>
  <c r="IQ24" i="184"/>
  <c r="IR24" i="184"/>
  <c r="IS24" i="184"/>
  <c r="IT24" i="184"/>
  <c r="IU24" i="184"/>
  <c r="IV24" i="184"/>
  <c r="A23" i="184"/>
  <c r="B23" i="184"/>
  <c r="C23" i="184"/>
  <c r="D23" i="184"/>
  <c r="E23" i="184"/>
  <c r="F23" i="184"/>
  <c r="G23" i="184"/>
  <c r="H23" i="184"/>
  <c r="I23" i="184"/>
  <c r="J23" i="184"/>
  <c r="K23" i="184"/>
  <c r="L23" i="184"/>
  <c r="M23" i="184"/>
  <c r="N23" i="184"/>
  <c r="P23" i="184"/>
  <c r="Q23" i="184"/>
  <c r="R23" i="184"/>
  <c r="S23" i="184"/>
  <c r="T23" i="184"/>
  <c r="U23" i="184"/>
  <c r="V23" i="184"/>
  <c r="W23" i="184"/>
  <c r="X23" i="184"/>
  <c r="Y23" i="184"/>
  <c r="Z23" i="184"/>
  <c r="AA23" i="184"/>
  <c r="AB23" i="184"/>
  <c r="AC23" i="184"/>
  <c r="AD23" i="184"/>
  <c r="AE23" i="184"/>
  <c r="AF23" i="184"/>
  <c r="AG23" i="184"/>
  <c r="AH23" i="184"/>
  <c r="AI23" i="184"/>
  <c r="AJ23" i="184"/>
  <c r="AK23" i="184"/>
  <c r="AL23" i="184"/>
  <c r="AM23" i="184"/>
  <c r="AN23" i="184"/>
  <c r="AO23" i="184"/>
  <c r="AP23" i="184"/>
  <c r="AQ23" i="184"/>
  <c r="AR23" i="184"/>
  <c r="AS23" i="184"/>
  <c r="AT23" i="184"/>
  <c r="AU23" i="184"/>
  <c r="AV23" i="184"/>
  <c r="AW23" i="184"/>
  <c r="AX23" i="184"/>
  <c r="AY23" i="184"/>
  <c r="AZ23" i="184"/>
  <c r="BA23" i="184"/>
  <c r="BB23" i="184"/>
  <c r="BC23" i="184"/>
  <c r="BD23" i="184"/>
  <c r="BE23" i="184"/>
  <c r="BF23" i="184"/>
  <c r="BG23" i="184"/>
  <c r="BH23" i="184"/>
  <c r="BI23" i="184"/>
  <c r="BJ23" i="184"/>
  <c r="BK23" i="184"/>
  <c r="BL23" i="184"/>
  <c r="BM23" i="184"/>
  <c r="BN23" i="184"/>
  <c r="BO23" i="184"/>
  <c r="BP23" i="184"/>
  <c r="BQ23" i="184"/>
  <c r="BR23" i="184"/>
  <c r="BS23" i="184"/>
  <c r="BT23" i="184"/>
  <c r="BU23" i="184"/>
  <c r="BV23" i="184"/>
  <c r="BW23" i="184"/>
  <c r="BX23" i="184"/>
  <c r="BY23" i="184"/>
  <c r="BZ23" i="184"/>
  <c r="CA23" i="184"/>
  <c r="CB23" i="184"/>
  <c r="CC23" i="184"/>
  <c r="CD23" i="184"/>
  <c r="CE23" i="184"/>
  <c r="CF23" i="184"/>
  <c r="CG23" i="184"/>
  <c r="CH23" i="184"/>
  <c r="CI23" i="184"/>
  <c r="CJ23" i="184"/>
  <c r="CK23" i="184"/>
  <c r="CL23" i="184"/>
  <c r="CM23" i="184"/>
  <c r="CN23" i="184"/>
  <c r="CO23" i="184"/>
  <c r="CP23" i="184"/>
  <c r="CQ23" i="184"/>
  <c r="CR23" i="184"/>
  <c r="CS23" i="184"/>
  <c r="CT23" i="184"/>
  <c r="CU23" i="184"/>
  <c r="CV23" i="184"/>
  <c r="CW23" i="184"/>
  <c r="CX23" i="184"/>
  <c r="CY23" i="184"/>
  <c r="CZ23" i="184"/>
  <c r="DA23" i="184"/>
  <c r="DB23" i="184"/>
  <c r="DC23" i="184"/>
  <c r="DD23" i="184"/>
  <c r="DE23" i="184"/>
  <c r="DF23" i="184"/>
  <c r="DG23" i="184"/>
  <c r="DH23" i="184"/>
  <c r="DI23" i="184"/>
  <c r="DJ23" i="184"/>
  <c r="DK23" i="184"/>
  <c r="DL23" i="184"/>
  <c r="DT23" i="184"/>
  <c r="DU23" i="184"/>
  <c r="DX23" i="184"/>
  <c r="DY23" i="184"/>
  <c r="DZ23" i="184"/>
  <c r="EA23" i="184"/>
  <c r="EB23" i="184"/>
  <c r="EC23" i="184"/>
  <c r="ED23" i="184"/>
  <c r="EE23" i="184"/>
  <c r="EF23" i="184"/>
  <c r="EG23" i="184"/>
  <c r="EH23" i="184"/>
  <c r="EI23" i="184"/>
  <c r="EJ23" i="184"/>
  <c r="EK23" i="184"/>
  <c r="EL23" i="184"/>
  <c r="EM23" i="184"/>
  <c r="EN23" i="184"/>
  <c r="EO23" i="184"/>
  <c r="EP23" i="184"/>
  <c r="EQ23" i="184"/>
  <c r="ER23" i="184"/>
  <c r="ES23" i="184"/>
  <c r="ET23" i="184"/>
  <c r="EU23" i="184"/>
  <c r="EV23" i="184"/>
  <c r="EW23" i="184"/>
  <c r="EX23" i="184"/>
  <c r="EY23" i="184"/>
  <c r="EZ23" i="184"/>
  <c r="FA23" i="184"/>
  <c r="FB23" i="184"/>
  <c r="FC23" i="184"/>
  <c r="FD23" i="184"/>
  <c r="FE23" i="184"/>
  <c r="FF23" i="184"/>
  <c r="FG23" i="184"/>
  <c r="FH23" i="184"/>
  <c r="FI23" i="184"/>
  <c r="FJ23" i="184"/>
  <c r="FK23" i="184"/>
  <c r="FL23" i="184"/>
  <c r="FM23" i="184"/>
  <c r="FN23" i="184"/>
  <c r="FO23" i="184"/>
  <c r="FP23" i="184"/>
  <c r="FQ23" i="184"/>
  <c r="FR23" i="184"/>
  <c r="FS23" i="184"/>
  <c r="FT23" i="184"/>
  <c r="FU23" i="184"/>
  <c r="FV23" i="184"/>
  <c r="FW23" i="184"/>
  <c r="FX23" i="184"/>
  <c r="FY23" i="184"/>
  <c r="FZ23" i="184"/>
  <c r="GA23" i="184"/>
  <c r="GB23" i="184"/>
  <c r="GC23" i="184"/>
  <c r="GD23" i="184"/>
  <c r="GE23" i="184"/>
  <c r="GF23" i="184"/>
  <c r="GG23" i="184"/>
  <c r="GH23" i="184"/>
  <c r="GI23" i="184"/>
  <c r="GJ23" i="184"/>
  <c r="GK23" i="184"/>
  <c r="GL23" i="184"/>
  <c r="GM23" i="184"/>
  <c r="GN23" i="184"/>
  <c r="GO23" i="184"/>
  <c r="GP23" i="184"/>
  <c r="GQ23" i="184"/>
  <c r="GR23" i="184"/>
  <c r="GS23" i="184"/>
  <c r="GT23" i="184"/>
  <c r="GU23" i="184"/>
  <c r="GV23" i="184"/>
  <c r="GW23" i="184"/>
  <c r="GX23" i="184"/>
  <c r="GY23" i="184"/>
  <c r="GZ23" i="184"/>
  <c r="HA23" i="184"/>
  <c r="HB23" i="184"/>
  <c r="HC23" i="184"/>
  <c r="HD23" i="184"/>
  <c r="HE23" i="184"/>
  <c r="HF23" i="184"/>
  <c r="HG23" i="184"/>
  <c r="HH23" i="184"/>
  <c r="HI23" i="184"/>
  <c r="HJ23" i="184"/>
  <c r="HK23" i="184"/>
  <c r="HL23" i="184"/>
  <c r="HM23" i="184"/>
  <c r="HN23" i="184"/>
  <c r="HO23" i="184"/>
  <c r="HP23" i="184"/>
  <c r="HQ23" i="184"/>
  <c r="HR23" i="184"/>
  <c r="HS23" i="184"/>
  <c r="HT23" i="184"/>
  <c r="HU23" i="184"/>
  <c r="HV23" i="184"/>
  <c r="HW23" i="184"/>
  <c r="HX23" i="184"/>
  <c r="HY23" i="184"/>
  <c r="HZ23" i="184"/>
  <c r="IA23" i="184"/>
  <c r="IB23" i="184"/>
  <c r="IC23" i="184"/>
  <c r="ID23" i="184"/>
  <c r="IE23" i="184"/>
  <c r="IF23" i="184"/>
  <c r="IG23" i="184"/>
  <c r="IH23" i="184"/>
  <c r="II23" i="184"/>
  <c r="IJ23" i="184"/>
  <c r="IK23" i="184"/>
  <c r="IL23" i="184"/>
  <c r="IM23" i="184"/>
  <c r="IN23" i="184"/>
  <c r="IO23" i="184"/>
  <c r="IP23" i="184"/>
  <c r="IQ23" i="184"/>
  <c r="IR23" i="184"/>
  <c r="IS23" i="184"/>
  <c r="IT23" i="184"/>
  <c r="IU23" i="184"/>
  <c r="IV23" i="184"/>
  <c r="A22" i="184"/>
  <c r="B22" i="184"/>
  <c r="C22" i="184"/>
  <c r="D22" i="184"/>
  <c r="E22" i="184"/>
  <c r="F22" i="184"/>
  <c r="G22" i="184"/>
  <c r="H22" i="184"/>
  <c r="I22" i="184"/>
  <c r="J22" i="184"/>
  <c r="K22" i="184"/>
  <c r="L22" i="184"/>
  <c r="M22" i="184"/>
  <c r="N22" i="184"/>
  <c r="O22" i="184"/>
  <c r="P22" i="184"/>
  <c r="Q22" i="184"/>
  <c r="R22" i="184"/>
  <c r="S22" i="184"/>
  <c r="T22" i="184"/>
  <c r="U22" i="184"/>
  <c r="V22" i="184"/>
  <c r="W22" i="184"/>
  <c r="X22" i="184"/>
  <c r="Y22" i="184"/>
  <c r="Z22" i="184"/>
  <c r="AA22" i="184"/>
  <c r="AB22" i="184"/>
  <c r="AC22" i="184"/>
  <c r="AD22" i="184"/>
  <c r="AE22" i="184"/>
  <c r="AF22" i="184"/>
  <c r="AG22" i="184"/>
  <c r="AH22" i="184"/>
  <c r="AI22" i="184"/>
  <c r="AJ22" i="184"/>
  <c r="AK22" i="184"/>
  <c r="AL22" i="184"/>
  <c r="AM22" i="184"/>
  <c r="AN22" i="184"/>
  <c r="AO22" i="184"/>
  <c r="AP22" i="184"/>
  <c r="AQ22" i="184"/>
  <c r="AR22" i="184"/>
  <c r="AS22" i="184"/>
  <c r="AT22" i="184"/>
  <c r="AU22" i="184"/>
  <c r="AV22" i="184"/>
  <c r="AW22" i="184"/>
  <c r="AX22" i="184"/>
  <c r="AY22" i="184"/>
  <c r="AZ22" i="184"/>
  <c r="BA22" i="184"/>
  <c r="BB22" i="184"/>
  <c r="BC22" i="184"/>
  <c r="BD22" i="184"/>
  <c r="BE22" i="184"/>
  <c r="BF22" i="184"/>
  <c r="BG22" i="184"/>
  <c r="BH22" i="184"/>
  <c r="BI22" i="184"/>
  <c r="BJ22" i="184"/>
  <c r="BK22" i="184"/>
  <c r="BL22" i="184"/>
  <c r="BM22" i="184"/>
  <c r="BN22" i="184"/>
  <c r="BO22" i="184"/>
  <c r="BP22" i="184"/>
  <c r="BQ22" i="184"/>
  <c r="BR22" i="184"/>
  <c r="BS22" i="184"/>
  <c r="BT22" i="184"/>
  <c r="BU22" i="184"/>
  <c r="BV22" i="184"/>
  <c r="BW22" i="184"/>
  <c r="BX22" i="184"/>
  <c r="BY22" i="184"/>
  <c r="BZ22" i="184"/>
  <c r="CA22" i="184"/>
  <c r="CB22" i="184"/>
  <c r="CC22" i="184"/>
  <c r="CD22" i="184"/>
  <c r="CE22" i="184"/>
  <c r="CF22" i="184"/>
  <c r="CG22" i="184"/>
  <c r="CH22" i="184"/>
  <c r="CI22" i="184"/>
  <c r="CJ22" i="184"/>
  <c r="CK22" i="184"/>
  <c r="CL22" i="184"/>
  <c r="CM22" i="184"/>
  <c r="CN22" i="184"/>
  <c r="CO22" i="184"/>
  <c r="CP22" i="184"/>
  <c r="CQ22" i="184"/>
  <c r="CR22" i="184"/>
  <c r="CS22" i="184"/>
  <c r="CT22" i="184"/>
  <c r="CU22" i="184"/>
  <c r="CV22" i="184"/>
  <c r="CW22" i="184"/>
  <c r="CX22" i="184"/>
  <c r="CY22" i="184"/>
  <c r="CZ22" i="184"/>
  <c r="DA22" i="184"/>
  <c r="DB22" i="184"/>
  <c r="DC22" i="184"/>
  <c r="DD22" i="184"/>
  <c r="DE22" i="184"/>
  <c r="DF22" i="184"/>
  <c r="DG22" i="184"/>
  <c r="DH22" i="184"/>
  <c r="DI22" i="184"/>
  <c r="DJ22" i="184"/>
  <c r="DK22" i="184"/>
  <c r="DL22" i="184"/>
  <c r="DM22" i="184"/>
  <c r="DN22" i="184"/>
  <c r="DO22" i="184"/>
  <c r="DP22" i="184"/>
  <c r="DQ22" i="184"/>
  <c r="DR22" i="184"/>
  <c r="DS22" i="184"/>
  <c r="DT22" i="184"/>
  <c r="DU22" i="184"/>
  <c r="DV22" i="184"/>
  <c r="DW22" i="184"/>
  <c r="DX22" i="184"/>
  <c r="DY22" i="184"/>
  <c r="DZ22" i="184"/>
  <c r="EA22" i="184"/>
  <c r="EB22" i="184"/>
  <c r="EC22" i="184"/>
  <c r="ED22" i="184"/>
  <c r="EE22" i="184"/>
  <c r="EF22" i="184"/>
  <c r="EG22" i="184"/>
  <c r="EH22" i="184"/>
  <c r="EI22" i="184"/>
  <c r="EJ22" i="184"/>
  <c r="EK22" i="184"/>
  <c r="EL22" i="184"/>
  <c r="EM22" i="184"/>
  <c r="EN22" i="184"/>
  <c r="EO22" i="184"/>
  <c r="EP22" i="184"/>
  <c r="EQ22" i="184"/>
  <c r="ER22" i="184"/>
  <c r="ES22" i="184"/>
  <c r="ET22" i="184"/>
  <c r="EU22" i="184"/>
  <c r="EV22" i="184"/>
  <c r="EW22" i="184"/>
  <c r="EX22" i="184"/>
  <c r="EY22" i="184"/>
  <c r="EZ22" i="184"/>
  <c r="FA22" i="184"/>
  <c r="FB22" i="184"/>
  <c r="FC22" i="184"/>
  <c r="FD22" i="184"/>
  <c r="FE22" i="184"/>
  <c r="FF22" i="184"/>
  <c r="FG22" i="184"/>
  <c r="FH22" i="184"/>
  <c r="FI22" i="184"/>
  <c r="FJ22" i="184"/>
  <c r="FK22" i="184"/>
  <c r="FL22" i="184"/>
  <c r="FM22" i="184"/>
  <c r="FN22" i="184"/>
  <c r="FO22" i="184"/>
  <c r="FP22" i="184"/>
  <c r="FQ22" i="184"/>
  <c r="FR22" i="184"/>
  <c r="FS22" i="184"/>
  <c r="FT22" i="184"/>
  <c r="FU22" i="184"/>
  <c r="FV22" i="184"/>
  <c r="FW22" i="184"/>
  <c r="FX22" i="184"/>
  <c r="FY22" i="184"/>
  <c r="FZ22" i="184"/>
  <c r="GA22" i="184"/>
  <c r="GB22" i="184"/>
  <c r="GC22" i="184"/>
  <c r="GD22" i="184"/>
  <c r="GE22" i="184"/>
  <c r="GF22" i="184"/>
  <c r="GG22" i="184"/>
  <c r="GH22" i="184"/>
  <c r="GI22" i="184"/>
  <c r="GJ22" i="184"/>
  <c r="GK22" i="184"/>
  <c r="GL22" i="184"/>
  <c r="GM22" i="184"/>
  <c r="GN22" i="184"/>
  <c r="GO22" i="184"/>
  <c r="GP22" i="184"/>
  <c r="GQ22" i="184"/>
  <c r="GR22" i="184"/>
  <c r="GS22" i="184"/>
  <c r="GT22" i="184"/>
  <c r="GU22" i="184"/>
  <c r="GV22" i="184"/>
  <c r="GW22" i="184"/>
  <c r="GX22" i="184"/>
  <c r="GY22" i="184"/>
  <c r="GZ22" i="184"/>
  <c r="HA22" i="184"/>
  <c r="HB22" i="184"/>
  <c r="HC22" i="184"/>
  <c r="HD22" i="184"/>
  <c r="HE22" i="184"/>
  <c r="HF22" i="184"/>
  <c r="HG22" i="184"/>
  <c r="HH22" i="184"/>
  <c r="HI22" i="184"/>
  <c r="HJ22" i="184"/>
  <c r="HK22" i="184"/>
  <c r="HL22" i="184"/>
  <c r="HM22" i="184"/>
  <c r="HN22" i="184"/>
  <c r="HO22" i="184"/>
  <c r="HP22" i="184"/>
  <c r="HQ22" i="184"/>
  <c r="HR22" i="184"/>
  <c r="HS22" i="184"/>
  <c r="HT22" i="184"/>
  <c r="HU22" i="184"/>
  <c r="HV22" i="184"/>
  <c r="HW22" i="184"/>
  <c r="HX22" i="184"/>
  <c r="HY22" i="184"/>
  <c r="HZ22" i="184"/>
  <c r="IA22" i="184"/>
  <c r="IB22" i="184"/>
  <c r="IC22" i="184"/>
  <c r="ID22" i="184"/>
  <c r="IE22" i="184"/>
  <c r="IF22" i="184"/>
  <c r="IG22" i="184"/>
  <c r="IH22" i="184"/>
  <c r="II22" i="184"/>
  <c r="IJ22" i="184"/>
  <c r="IK22" i="184"/>
  <c r="IL22" i="184"/>
  <c r="IM22" i="184"/>
  <c r="IN22" i="184"/>
  <c r="IO22" i="184"/>
  <c r="IP22" i="184"/>
  <c r="IQ22" i="184"/>
  <c r="IR22" i="184"/>
  <c r="IS22" i="184"/>
  <c r="IT22" i="184"/>
  <c r="IU22" i="184"/>
  <c r="IV22" i="184"/>
  <c r="A21" i="184"/>
  <c r="B21" i="184"/>
  <c r="C21" i="184"/>
  <c r="D21" i="184"/>
  <c r="E21" i="184"/>
  <c r="F21" i="184"/>
  <c r="G21" i="184"/>
  <c r="H21" i="184"/>
  <c r="I21" i="184"/>
  <c r="J21" i="184"/>
  <c r="K21" i="184"/>
  <c r="L21" i="184"/>
  <c r="M21" i="184"/>
  <c r="N21" i="184"/>
  <c r="O21" i="184"/>
  <c r="P21" i="184"/>
  <c r="Q21" i="184"/>
  <c r="R21" i="184"/>
  <c r="S21" i="184"/>
  <c r="T21" i="184"/>
  <c r="U21" i="184"/>
  <c r="V21" i="184"/>
  <c r="W21" i="184"/>
  <c r="X21" i="184"/>
  <c r="Y21" i="184"/>
  <c r="Z21" i="184"/>
  <c r="AA21" i="184"/>
  <c r="AB21" i="184"/>
  <c r="AC21" i="184"/>
  <c r="AD21" i="184"/>
  <c r="AE21" i="184"/>
  <c r="AF21" i="184"/>
  <c r="AG21" i="184"/>
  <c r="AH21" i="184"/>
  <c r="AI21" i="184"/>
  <c r="AJ21" i="184"/>
  <c r="AK21" i="184"/>
  <c r="AL21" i="184"/>
  <c r="AM21" i="184"/>
  <c r="AN21" i="184"/>
  <c r="AO21" i="184"/>
  <c r="AP21" i="184"/>
  <c r="AQ21" i="184"/>
  <c r="AR21" i="184"/>
  <c r="AS21" i="184"/>
  <c r="AT21" i="184"/>
  <c r="AU21" i="184"/>
  <c r="AV21" i="184"/>
  <c r="AW21" i="184"/>
  <c r="AX21" i="184"/>
  <c r="AY21" i="184"/>
  <c r="AZ21" i="184"/>
  <c r="BA21" i="184"/>
  <c r="BB21" i="184"/>
  <c r="BC21" i="184"/>
  <c r="BD21" i="184"/>
  <c r="BE21" i="184"/>
  <c r="BF21" i="184"/>
  <c r="BG21" i="184"/>
  <c r="BH21" i="184"/>
  <c r="BI21" i="184"/>
  <c r="BJ21" i="184"/>
  <c r="BK21" i="184"/>
  <c r="BL21" i="184"/>
  <c r="BM21" i="184"/>
  <c r="BN21" i="184"/>
  <c r="BO21" i="184"/>
  <c r="BP21" i="184"/>
  <c r="BQ21" i="184"/>
  <c r="BR21" i="184"/>
  <c r="BS21" i="184"/>
  <c r="BT21" i="184"/>
  <c r="BU21" i="184"/>
  <c r="BV21" i="184"/>
  <c r="BW21" i="184"/>
  <c r="BX21" i="184"/>
  <c r="BY21" i="184"/>
  <c r="BZ21" i="184"/>
  <c r="CA21" i="184"/>
  <c r="CB21" i="184"/>
  <c r="CC21" i="184"/>
  <c r="CD21" i="184"/>
  <c r="CE21" i="184"/>
  <c r="CF21" i="184"/>
  <c r="CG21" i="184"/>
  <c r="CH21" i="184"/>
  <c r="CI21" i="184"/>
  <c r="CJ21" i="184"/>
  <c r="CK21" i="184"/>
  <c r="CL21" i="184"/>
  <c r="CM21" i="184"/>
  <c r="CN21" i="184"/>
  <c r="CO21" i="184"/>
  <c r="CP21" i="184"/>
  <c r="CQ21" i="184"/>
  <c r="CR21" i="184"/>
  <c r="CS21" i="184"/>
  <c r="CT21" i="184"/>
  <c r="CU21" i="184"/>
  <c r="CV21" i="184"/>
  <c r="CW21" i="184"/>
  <c r="CX21" i="184"/>
  <c r="CY21" i="184"/>
  <c r="CZ21" i="184"/>
  <c r="DA21" i="184"/>
  <c r="DB21" i="184"/>
  <c r="DC21" i="184"/>
  <c r="DD21" i="184"/>
  <c r="DE21" i="184"/>
  <c r="DF21" i="184"/>
  <c r="DG21" i="184"/>
  <c r="DH21" i="184"/>
  <c r="DI21" i="184"/>
  <c r="DJ21" i="184"/>
  <c r="DK21" i="184"/>
  <c r="DL21" i="184"/>
  <c r="DM21" i="184"/>
  <c r="DN21" i="184"/>
  <c r="DO21" i="184"/>
  <c r="DP21" i="184"/>
  <c r="DQ21" i="184"/>
  <c r="DR21" i="184"/>
  <c r="DS21" i="184"/>
  <c r="DT21" i="184"/>
  <c r="DU21" i="184"/>
  <c r="DV21" i="184"/>
  <c r="DW21" i="184"/>
  <c r="DX21" i="184"/>
  <c r="DY21" i="184"/>
  <c r="DZ21" i="184"/>
  <c r="EA21" i="184"/>
  <c r="EB21" i="184"/>
  <c r="EC21" i="184"/>
  <c r="ED21" i="184"/>
  <c r="EE21" i="184"/>
  <c r="EF21" i="184"/>
  <c r="EG21" i="184"/>
  <c r="EH21" i="184"/>
  <c r="EI21" i="184"/>
  <c r="EJ21" i="184"/>
  <c r="EK21" i="184"/>
  <c r="EL21" i="184"/>
  <c r="EM21" i="184"/>
  <c r="EN21" i="184"/>
  <c r="EO21" i="184"/>
  <c r="EP21" i="184"/>
  <c r="EQ21" i="184"/>
  <c r="ER21" i="184"/>
  <c r="ES21" i="184"/>
  <c r="ET21" i="184"/>
  <c r="EU21" i="184"/>
  <c r="EV21" i="184"/>
  <c r="EW21" i="184"/>
  <c r="EX21" i="184"/>
  <c r="EY21" i="184"/>
  <c r="EZ21" i="184"/>
  <c r="FA21" i="184"/>
  <c r="FB21" i="184"/>
  <c r="FC21" i="184"/>
  <c r="FD21" i="184"/>
  <c r="FE21" i="184"/>
  <c r="FF21" i="184"/>
  <c r="FG21" i="184"/>
  <c r="FH21" i="184"/>
  <c r="FI21" i="184"/>
  <c r="FJ21" i="184"/>
  <c r="FK21" i="184"/>
  <c r="FL21" i="184"/>
  <c r="FM21" i="184"/>
  <c r="FN21" i="184"/>
  <c r="FO21" i="184"/>
  <c r="FP21" i="184"/>
  <c r="FQ21" i="184"/>
  <c r="FR21" i="184"/>
  <c r="FS21" i="184"/>
  <c r="FT21" i="184"/>
  <c r="FU21" i="184"/>
  <c r="FV21" i="184"/>
  <c r="FW21" i="184"/>
  <c r="FX21" i="184"/>
  <c r="FY21" i="184"/>
  <c r="FZ21" i="184"/>
  <c r="GA21" i="184"/>
  <c r="GB21" i="184"/>
  <c r="GC21" i="184"/>
  <c r="GD21" i="184"/>
  <c r="GE21" i="184"/>
  <c r="GF21" i="184"/>
  <c r="GG21" i="184"/>
  <c r="GH21" i="184"/>
  <c r="GI21" i="184"/>
  <c r="GJ21" i="184"/>
  <c r="GK21" i="184"/>
  <c r="GL21" i="184"/>
  <c r="GM21" i="184"/>
  <c r="GN21" i="184"/>
  <c r="GO21" i="184"/>
  <c r="GP21" i="184"/>
  <c r="GQ21" i="184"/>
  <c r="GR21" i="184"/>
  <c r="GS21" i="184"/>
  <c r="GT21" i="184"/>
  <c r="GU21" i="184"/>
  <c r="GV21" i="184"/>
  <c r="GW21" i="184"/>
  <c r="GX21" i="184"/>
  <c r="GY21" i="184"/>
  <c r="GZ21" i="184"/>
  <c r="HA21" i="184"/>
  <c r="HB21" i="184"/>
  <c r="HC21" i="184"/>
  <c r="HD21" i="184"/>
  <c r="HE21" i="184"/>
  <c r="HF21" i="184"/>
  <c r="HG21" i="184"/>
  <c r="HH21" i="184"/>
  <c r="HI21" i="184"/>
  <c r="HJ21" i="184"/>
  <c r="HK21" i="184"/>
  <c r="HL21" i="184"/>
  <c r="HM21" i="184"/>
  <c r="HN21" i="184"/>
  <c r="HO21" i="184"/>
  <c r="HP21" i="184"/>
  <c r="HQ21" i="184"/>
  <c r="HR21" i="184"/>
  <c r="HS21" i="184"/>
  <c r="HT21" i="184"/>
  <c r="HU21" i="184"/>
  <c r="HV21" i="184"/>
  <c r="HW21" i="184"/>
  <c r="HX21" i="184"/>
  <c r="HY21" i="184"/>
  <c r="HZ21" i="184"/>
  <c r="IA21" i="184"/>
  <c r="IB21" i="184"/>
  <c r="IC21" i="184"/>
  <c r="ID21" i="184"/>
  <c r="IE21" i="184"/>
  <c r="IF21" i="184"/>
  <c r="IG21" i="184"/>
  <c r="IH21" i="184"/>
  <c r="II21" i="184"/>
  <c r="IJ21" i="184"/>
  <c r="IK21" i="184"/>
  <c r="IL21" i="184"/>
  <c r="IM21" i="184"/>
  <c r="IN21" i="184"/>
  <c r="IO21" i="184"/>
  <c r="IP21" i="184"/>
  <c r="IQ21" i="184"/>
  <c r="IR21" i="184"/>
  <c r="IS21" i="184"/>
  <c r="IT21" i="184"/>
  <c r="IU21" i="184"/>
  <c r="IV21" i="184"/>
  <c r="A20" i="184"/>
  <c r="B20" i="184"/>
  <c r="C20" i="184"/>
  <c r="D20" i="184"/>
  <c r="E20" i="184"/>
  <c r="F20" i="184"/>
  <c r="G20" i="184"/>
  <c r="H20" i="184"/>
  <c r="I20" i="184"/>
  <c r="J20" i="184"/>
  <c r="K20" i="184"/>
  <c r="L20" i="184"/>
  <c r="M20" i="184"/>
  <c r="N20" i="184"/>
  <c r="O20" i="184"/>
  <c r="P20" i="184"/>
  <c r="Q20" i="184"/>
  <c r="R20" i="184"/>
  <c r="S20" i="184"/>
  <c r="T20" i="184"/>
  <c r="U20" i="184"/>
  <c r="V20" i="184"/>
  <c r="W20" i="184"/>
  <c r="X20" i="184"/>
  <c r="Y20" i="184"/>
  <c r="Z20" i="184"/>
  <c r="AA20" i="184"/>
  <c r="AB20" i="184"/>
  <c r="AC20" i="184"/>
  <c r="AD20" i="184"/>
  <c r="AE20" i="184"/>
  <c r="AF20" i="184"/>
  <c r="AG20" i="184"/>
  <c r="AH20" i="184"/>
  <c r="AI20" i="184"/>
  <c r="AJ20" i="184"/>
  <c r="AK20" i="184"/>
  <c r="AL20" i="184"/>
  <c r="AM20" i="184"/>
  <c r="AN20" i="184"/>
  <c r="AO20" i="184"/>
  <c r="AP20" i="184"/>
  <c r="AQ20" i="184"/>
  <c r="AR20" i="184"/>
  <c r="AS20" i="184"/>
  <c r="AT20" i="184"/>
  <c r="AU20" i="184"/>
  <c r="AV20" i="184"/>
  <c r="AW20" i="184"/>
  <c r="AX20" i="184"/>
  <c r="AY20" i="184"/>
  <c r="AZ20" i="184"/>
  <c r="BA20" i="184"/>
  <c r="BB20" i="184"/>
  <c r="BC20" i="184"/>
  <c r="BD20" i="184"/>
  <c r="BE20" i="184"/>
  <c r="BF20" i="184"/>
  <c r="BG20" i="184"/>
  <c r="BH20" i="184"/>
  <c r="BI20" i="184"/>
  <c r="BJ20" i="184"/>
  <c r="BK20" i="184"/>
  <c r="BL20" i="184"/>
  <c r="BM20" i="184"/>
  <c r="BN20" i="184"/>
  <c r="BO20" i="184"/>
  <c r="BP20" i="184"/>
  <c r="BQ20" i="184"/>
  <c r="BR20" i="184"/>
  <c r="BS20" i="184"/>
  <c r="BT20" i="184"/>
  <c r="BU20" i="184"/>
  <c r="BV20" i="184"/>
  <c r="BW20" i="184"/>
  <c r="BX20" i="184"/>
  <c r="BY20" i="184"/>
  <c r="BZ20" i="184"/>
  <c r="CA20" i="184"/>
  <c r="CB20" i="184"/>
  <c r="CC20" i="184"/>
  <c r="CD20" i="184"/>
  <c r="CE20" i="184"/>
  <c r="CF20" i="184"/>
  <c r="CG20" i="184"/>
  <c r="CH20" i="184"/>
  <c r="CI20" i="184"/>
  <c r="CJ20" i="184"/>
  <c r="CK20" i="184"/>
  <c r="CL20" i="184"/>
  <c r="CM20" i="184"/>
  <c r="CN20" i="184"/>
  <c r="CO20" i="184"/>
  <c r="CP20" i="184"/>
  <c r="CQ20" i="184"/>
  <c r="CR20" i="184"/>
  <c r="CS20" i="184"/>
  <c r="CT20" i="184"/>
  <c r="CU20" i="184"/>
  <c r="CV20" i="184"/>
  <c r="CW20" i="184"/>
  <c r="CX20" i="184"/>
  <c r="CY20" i="184"/>
  <c r="CZ20" i="184"/>
  <c r="DA20" i="184"/>
  <c r="DB20" i="184"/>
  <c r="DC20" i="184"/>
  <c r="DD20" i="184"/>
  <c r="DE20" i="184"/>
  <c r="DF20" i="184"/>
  <c r="DG20" i="184"/>
  <c r="DH20" i="184"/>
  <c r="DI20" i="184"/>
  <c r="DJ20" i="184"/>
  <c r="DK20" i="184"/>
  <c r="DL20" i="184"/>
  <c r="DM20" i="184"/>
  <c r="DN20" i="184"/>
  <c r="DO20" i="184"/>
  <c r="DP20" i="184"/>
  <c r="DQ20" i="184"/>
  <c r="DR20" i="184"/>
  <c r="DS20" i="184"/>
  <c r="DT20" i="184"/>
  <c r="DU20" i="184"/>
  <c r="DV20" i="184"/>
  <c r="DW20" i="184"/>
  <c r="DX20" i="184"/>
  <c r="DY20" i="184"/>
  <c r="DZ20" i="184"/>
  <c r="EA20" i="184"/>
  <c r="EB20" i="184"/>
  <c r="EC20" i="184"/>
  <c r="ED20" i="184"/>
  <c r="EE20" i="184"/>
  <c r="EF20" i="184"/>
  <c r="EG20" i="184"/>
  <c r="EH20" i="184"/>
  <c r="EI20" i="184"/>
  <c r="EJ20" i="184"/>
  <c r="EK20" i="184"/>
  <c r="EL20" i="184"/>
  <c r="EM20" i="184"/>
  <c r="EN20" i="184"/>
  <c r="EO20" i="184"/>
  <c r="EP20" i="184"/>
  <c r="EQ20" i="184"/>
  <c r="ER20" i="184"/>
  <c r="ES20" i="184"/>
  <c r="ET20" i="184"/>
  <c r="EU20" i="184"/>
  <c r="EV20" i="184"/>
  <c r="EW20" i="184"/>
  <c r="EX20" i="184"/>
  <c r="EY20" i="184"/>
  <c r="EZ20" i="184"/>
  <c r="FA20" i="184"/>
  <c r="FB20" i="184"/>
  <c r="FC20" i="184"/>
  <c r="FD20" i="184"/>
  <c r="FE20" i="184"/>
  <c r="FF20" i="184"/>
  <c r="FG20" i="184"/>
  <c r="FH20" i="184"/>
  <c r="FI20" i="184"/>
  <c r="FJ20" i="184"/>
  <c r="FK20" i="184"/>
  <c r="FL20" i="184"/>
  <c r="FM20" i="184"/>
  <c r="FN20" i="184"/>
  <c r="FO20" i="184"/>
  <c r="FP20" i="184"/>
  <c r="FQ20" i="184"/>
  <c r="FR20" i="184"/>
  <c r="FS20" i="184"/>
  <c r="FT20" i="184"/>
  <c r="FU20" i="184"/>
  <c r="FV20" i="184"/>
  <c r="FW20" i="184"/>
  <c r="FX20" i="184"/>
  <c r="FY20" i="184"/>
  <c r="FZ20" i="184"/>
  <c r="GA20" i="184"/>
  <c r="GB20" i="184"/>
  <c r="GC20" i="184"/>
  <c r="GD20" i="184"/>
  <c r="GE20" i="184"/>
  <c r="GF20" i="184"/>
  <c r="GG20" i="184"/>
  <c r="GH20" i="184"/>
  <c r="GI20" i="184"/>
  <c r="GJ20" i="184"/>
  <c r="GK20" i="184"/>
  <c r="GL20" i="184"/>
  <c r="GM20" i="184"/>
  <c r="GN20" i="184"/>
  <c r="GO20" i="184"/>
  <c r="GP20" i="184"/>
  <c r="GQ20" i="184"/>
  <c r="GR20" i="184"/>
  <c r="GS20" i="184"/>
  <c r="GT20" i="184"/>
  <c r="GU20" i="184"/>
  <c r="GV20" i="184"/>
  <c r="GW20" i="184"/>
  <c r="GX20" i="184"/>
  <c r="GY20" i="184"/>
  <c r="GZ20" i="184"/>
  <c r="HA20" i="184"/>
  <c r="HB20" i="184"/>
  <c r="HC20" i="184"/>
  <c r="HD20" i="184"/>
  <c r="HE20" i="184"/>
  <c r="HF20" i="184"/>
  <c r="HG20" i="184"/>
  <c r="HH20" i="184"/>
  <c r="HI20" i="184"/>
  <c r="HJ20" i="184"/>
  <c r="HK20" i="184"/>
  <c r="HL20" i="184"/>
  <c r="HM20" i="184"/>
  <c r="HN20" i="184"/>
  <c r="HO20" i="184"/>
  <c r="HP20" i="184"/>
  <c r="HQ20" i="184"/>
  <c r="HR20" i="184"/>
  <c r="HS20" i="184"/>
  <c r="HT20" i="184"/>
  <c r="HU20" i="184"/>
  <c r="HV20" i="184"/>
  <c r="HW20" i="184"/>
  <c r="HX20" i="184"/>
  <c r="HY20" i="184"/>
  <c r="HZ20" i="184"/>
  <c r="IA20" i="184"/>
  <c r="IB20" i="184"/>
  <c r="IC20" i="184"/>
  <c r="ID20" i="184"/>
  <c r="IE20" i="184"/>
  <c r="IF20" i="184"/>
  <c r="IG20" i="184"/>
  <c r="IH20" i="184"/>
  <c r="II20" i="184"/>
  <c r="IJ20" i="184"/>
  <c r="IK20" i="184"/>
  <c r="IL20" i="184"/>
  <c r="IM20" i="184"/>
  <c r="IN20" i="184"/>
  <c r="IO20" i="184"/>
  <c r="IP20" i="184"/>
  <c r="IQ20" i="184"/>
  <c r="IR20" i="184"/>
  <c r="IS20" i="184"/>
  <c r="IT20" i="184"/>
  <c r="IU20" i="184"/>
  <c r="IV20" i="184"/>
  <c r="A19" i="184"/>
  <c r="B19" i="184"/>
  <c r="C19" i="184"/>
  <c r="D19" i="184"/>
  <c r="E19" i="184"/>
  <c r="F19" i="184"/>
  <c r="G19" i="184"/>
  <c r="H19" i="184"/>
  <c r="I19" i="184"/>
  <c r="J19" i="184"/>
  <c r="K19" i="184"/>
  <c r="L19" i="184"/>
  <c r="M19" i="184"/>
  <c r="N19" i="184"/>
  <c r="O19" i="184"/>
  <c r="P19" i="184"/>
  <c r="Q19" i="184"/>
  <c r="R19" i="184"/>
  <c r="S19" i="184"/>
  <c r="T19" i="184"/>
  <c r="U19" i="184"/>
  <c r="V19" i="184"/>
  <c r="W19" i="184"/>
  <c r="X19" i="184"/>
  <c r="Y19" i="184"/>
  <c r="Z19" i="184"/>
  <c r="AA19" i="184"/>
  <c r="AB19" i="184"/>
  <c r="AC19" i="184"/>
  <c r="AD19" i="184"/>
  <c r="AE19" i="184"/>
  <c r="AF19" i="184"/>
  <c r="AG19" i="184"/>
  <c r="AH19" i="184"/>
  <c r="AI19" i="184"/>
  <c r="AJ19" i="184"/>
  <c r="AK19" i="184"/>
  <c r="AL19" i="184"/>
  <c r="AM19" i="184"/>
  <c r="AN19" i="184"/>
  <c r="AO19" i="184"/>
  <c r="AP19" i="184"/>
  <c r="AQ19" i="184"/>
  <c r="AR19" i="184"/>
  <c r="AS19" i="184"/>
  <c r="AT19" i="184"/>
  <c r="AU19" i="184"/>
  <c r="AV19" i="184"/>
  <c r="AW19" i="184"/>
  <c r="AX19" i="184"/>
  <c r="AY19" i="184"/>
  <c r="AZ19" i="184"/>
  <c r="BA19" i="184"/>
  <c r="BB19" i="184"/>
  <c r="BC19" i="184"/>
  <c r="BD19" i="184"/>
  <c r="BE19" i="184"/>
  <c r="BF19" i="184"/>
  <c r="BG19" i="184"/>
  <c r="BH19" i="184"/>
  <c r="BI19" i="184"/>
  <c r="BJ19" i="184"/>
  <c r="BK19" i="184"/>
  <c r="BL19" i="184"/>
  <c r="BM19" i="184"/>
  <c r="BN19" i="184"/>
  <c r="BO19" i="184"/>
  <c r="BP19" i="184"/>
  <c r="BQ19" i="184"/>
  <c r="BR19" i="184"/>
  <c r="BS19" i="184"/>
  <c r="BT19" i="184"/>
  <c r="BU19" i="184"/>
  <c r="BV19" i="184"/>
  <c r="BW19" i="184"/>
  <c r="BX19" i="184"/>
  <c r="BY19" i="184"/>
  <c r="BZ19" i="184"/>
  <c r="CA19" i="184"/>
  <c r="CB19" i="184"/>
  <c r="CC19" i="184"/>
  <c r="CD19" i="184"/>
  <c r="CE19" i="184"/>
  <c r="CF19" i="184"/>
  <c r="CG19" i="184"/>
  <c r="CH19" i="184"/>
  <c r="CI19" i="184"/>
  <c r="CJ19" i="184"/>
  <c r="CK19" i="184"/>
  <c r="CL19" i="184"/>
  <c r="CM19" i="184"/>
  <c r="CN19" i="184"/>
  <c r="CO19" i="184"/>
  <c r="CP19" i="184"/>
  <c r="CQ19" i="184"/>
  <c r="CR19" i="184"/>
  <c r="CS19" i="184"/>
  <c r="CT19" i="184"/>
  <c r="CU19" i="184"/>
  <c r="CV19" i="184"/>
  <c r="CW19" i="184"/>
  <c r="CX19" i="184"/>
  <c r="CY19" i="184"/>
  <c r="CZ19" i="184"/>
  <c r="DA19" i="184"/>
  <c r="DB19" i="184"/>
  <c r="DC19" i="184"/>
  <c r="DD19" i="184"/>
  <c r="DE19" i="184"/>
  <c r="DF19" i="184"/>
  <c r="DG19" i="184"/>
  <c r="DH19" i="184"/>
  <c r="DI19" i="184"/>
  <c r="DJ19" i="184"/>
  <c r="DK19" i="184"/>
  <c r="DL19" i="184"/>
  <c r="DM19" i="184"/>
  <c r="DN19" i="184"/>
  <c r="DO19" i="184"/>
  <c r="DP19" i="184"/>
  <c r="DQ19" i="184"/>
  <c r="DR19" i="184"/>
  <c r="DS19" i="184"/>
  <c r="DT19" i="184"/>
  <c r="DU19" i="184"/>
  <c r="DV19" i="184"/>
  <c r="DW19" i="184"/>
  <c r="DX19" i="184"/>
  <c r="DY19" i="184"/>
  <c r="DZ19" i="184"/>
  <c r="EA19" i="184"/>
  <c r="EB19" i="184"/>
  <c r="EC19" i="184"/>
  <c r="ED19" i="184"/>
  <c r="EE19" i="184"/>
  <c r="EF19" i="184"/>
  <c r="EG19" i="184"/>
  <c r="EH19" i="184"/>
  <c r="EI19" i="184"/>
  <c r="EJ19" i="184"/>
  <c r="EK19" i="184"/>
  <c r="EL19" i="184"/>
  <c r="EU19" i="184"/>
  <c r="EX19" i="184"/>
  <c r="EY19" i="184"/>
  <c r="EZ19" i="184"/>
  <c r="FA19" i="184"/>
  <c r="FB19" i="184"/>
  <c r="FC19" i="184"/>
  <c r="FD19" i="184"/>
  <c r="FE19" i="184"/>
  <c r="FF19" i="184"/>
  <c r="FG19" i="184"/>
  <c r="FH19" i="184"/>
  <c r="FI19" i="184"/>
  <c r="FJ19" i="184"/>
  <c r="FK19" i="184"/>
  <c r="FL19" i="184"/>
  <c r="FM19" i="184"/>
  <c r="FN19" i="184"/>
  <c r="FO19" i="184"/>
  <c r="FP19" i="184"/>
  <c r="FQ19" i="184"/>
  <c r="FR19" i="184"/>
  <c r="FS19" i="184"/>
  <c r="FT19" i="184"/>
  <c r="FU19" i="184"/>
  <c r="FV19" i="184"/>
  <c r="FW19" i="184"/>
  <c r="FX19" i="184"/>
  <c r="FY19" i="184"/>
  <c r="FZ19" i="184"/>
  <c r="GA19" i="184"/>
  <c r="GB19" i="184"/>
  <c r="GC19" i="184"/>
  <c r="GD19" i="184"/>
  <c r="GE19" i="184"/>
  <c r="GF19" i="184"/>
  <c r="GG19" i="184"/>
  <c r="GH19" i="184"/>
  <c r="GI19" i="184"/>
  <c r="GJ19" i="184"/>
  <c r="GK19" i="184"/>
  <c r="GL19" i="184"/>
  <c r="GM19" i="184"/>
  <c r="GN19" i="184"/>
  <c r="GO19" i="184"/>
  <c r="GP19" i="184"/>
  <c r="GQ19" i="184"/>
  <c r="GR19" i="184"/>
  <c r="GS19" i="184"/>
  <c r="GT19" i="184"/>
  <c r="GU19" i="184"/>
  <c r="GV19" i="184"/>
  <c r="GW19" i="184"/>
  <c r="GX19" i="184"/>
  <c r="GY19" i="184"/>
  <c r="GZ19" i="184"/>
  <c r="HA19" i="184"/>
  <c r="HB19" i="184"/>
  <c r="HC19" i="184"/>
  <c r="HD19" i="184"/>
  <c r="HE19" i="184"/>
  <c r="HF19" i="184"/>
  <c r="HG19" i="184"/>
  <c r="HH19" i="184"/>
  <c r="HI19" i="184"/>
  <c r="HJ19" i="184"/>
  <c r="HK19" i="184"/>
  <c r="HL19" i="184"/>
  <c r="HM19" i="184"/>
  <c r="HN19" i="184"/>
  <c r="HO19" i="184"/>
  <c r="HP19" i="184"/>
  <c r="HQ19" i="184"/>
  <c r="HR19" i="184"/>
  <c r="HS19" i="184"/>
  <c r="HT19" i="184"/>
  <c r="HU19" i="184"/>
  <c r="HV19" i="184"/>
  <c r="HW19" i="184"/>
  <c r="HX19" i="184"/>
  <c r="HY19" i="184"/>
  <c r="HZ19" i="184"/>
  <c r="IA19" i="184"/>
  <c r="IB19" i="184"/>
  <c r="IC19" i="184"/>
  <c r="ID19" i="184"/>
  <c r="IE19" i="184"/>
  <c r="IF19" i="184"/>
  <c r="IG19" i="184"/>
  <c r="IH19" i="184"/>
  <c r="II19" i="184"/>
  <c r="IJ19" i="184"/>
  <c r="IK19" i="184"/>
  <c r="IL19" i="184"/>
  <c r="IM19" i="184"/>
  <c r="IN19" i="184"/>
  <c r="IO19" i="184"/>
  <c r="IP19" i="184"/>
  <c r="IQ19" i="184"/>
  <c r="IR19" i="184"/>
  <c r="IS19" i="184"/>
  <c r="IT19" i="184"/>
  <c r="IU19" i="184"/>
  <c r="IV19" i="184"/>
  <c r="A18" i="184"/>
  <c r="B18" i="184"/>
  <c r="C18" i="184"/>
  <c r="D18" i="184"/>
  <c r="E18" i="184"/>
  <c r="F18" i="184"/>
  <c r="G18" i="184"/>
  <c r="H18" i="184"/>
  <c r="I18" i="184"/>
  <c r="J18" i="184"/>
  <c r="K18" i="184"/>
  <c r="L18" i="184"/>
  <c r="N18" i="184"/>
  <c r="O18" i="184"/>
  <c r="P18" i="184"/>
  <c r="Q18" i="184"/>
  <c r="R18" i="184"/>
  <c r="S18" i="184"/>
  <c r="T18" i="184"/>
  <c r="U18" i="184"/>
  <c r="V18" i="184"/>
  <c r="W18" i="184"/>
  <c r="X18" i="184"/>
  <c r="Y18" i="184"/>
  <c r="Z18" i="184"/>
  <c r="AA18" i="184"/>
  <c r="AB18" i="184"/>
  <c r="AC18" i="184"/>
  <c r="AD18" i="184"/>
  <c r="AE18" i="184"/>
  <c r="AF18" i="184"/>
  <c r="AG18" i="184"/>
  <c r="AH18" i="184"/>
  <c r="AI18" i="184"/>
  <c r="AJ18" i="184"/>
  <c r="AK18" i="184"/>
  <c r="AL18" i="184"/>
  <c r="AM18" i="184"/>
  <c r="AN18" i="184"/>
  <c r="AO18" i="184"/>
  <c r="AP18" i="184"/>
  <c r="AQ18" i="184"/>
  <c r="AR18" i="184"/>
  <c r="AS18" i="184"/>
  <c r="AT18" i="184"/>
  <c r="AU18" i="184"/>
  <c r="AV18" i="184"/>
  <c r="AW18" i="184"/>
  <c r="AX18" i="184"/>
  <c r="AY18" i="184"/>
  <c r="AZ18" i="184"/>
  <c r="BA18" i="184"/>
  <c r="BB18" i="184"/>
  <c r="BC18" i="184"/>
  <c r="BD18" i="184"/>
  <c r="BE18" i="184"/>
  <c r="BF18" i="184"/>
  <c r="BG18" i="184"/>
  <c r="BH18" i="184"/>
  <c r="BI18" i="184"/>
  <c r="BJ18" i="184"/>
  <c r="BK18" i="184"/>
  <c r="BL18" i="184"/>
  <c r="BM18" i="184"/>
  <c r="BN18" i="184"/>
  <c r="BO18" i="184"/>
  <c r="BP18" i="184"/>
  <c r="BQ18" i="184"/>
  <c r="BR18" i="184"/>
  <c r="BS18" i="184"/>
  <c r="BT18" i="184"/>
  <c r="BU18" i="184"/>
  <c r="BV18" i="184"/>
  <c r="BW18" i="184"/>
  <c r="BX18" i="184"/>
  <c r="BY18" i="184"/>
  <c r="BZ18" i="184"/>
  <c r="CA18" i="184"/>
  <c r="CB18" i="184"/>
  <c r="CC18" i="184"/>
  <c r="CD18" i="184"/>
  <c r="CE18" i="184"/>
  <c r="CF18" i="184"/>
  <c r="CG18" i="184"/>
  <c r="CH18" i="184"/>
  <c r="CI18" i="184"/>
  <c r="CJ18" i="184"/>
  <c r="CK18" i="184"/>
  <c r="CL18" i="184"/>
  <c r="CM18" i="184"/>
  <c r="CN18" i="184"/>
  <c r="CO18" i="184"/>
  <c r="CP18" i="184"/>
  <c r="CQ18" i="184"/>
  <c r="CR18" i="184"/>
  <c r="CS18" i="184"/>
  <c r="CT18" i="184"/>
  <c r="CU18" i="184"/>
  <c r="CV18" i="184"/>
  <c r="CW18" i="184"/>
  <c r="CX18" i="184"/>
  <c r="CY18" i="184"/>
  <c r="CZ18" i="184"/>
  <c r="DA18" i="184"/>
  <c r="DB18" i="184"/>
  <c r="DC18" i="184"/>
  <c r="DD18" i="184"/>
  <c r="DE18" i="184"/>
  <c r="DF18" i="184"/>
  <c r="DG18" i="184"/>
  <c r="DH18" i="184"/>
  <c r="DI18" i="184"/>
  <c r="DJ18" i="184"/>
  <c r="DK18" i="184"/>
  <c r="DL18" i="184"/>
  <c r="DM18" i="184"/>
  <c r="DN18" i="184"/>
  <c r="DO18" i="184"/>
  <c r="DP18" i="184"/>
  <c r="DQ18" i="184"/>
  <c r="DR18" i="184"/>
  <c r="DS18" i="184"/>
  <c r="DT18" i="184"/>
  <c r="DU18" i="184"/>
  <c r="DV18" i="184"/>
  <c r="DW18" i="184"/>
  <c r="DX18" i="184"/>
  <c r="DY18" i="184"/>
  <c r="DZ18" i="184"/>
  <c r="EA18" i="184"/>
  <c r="EB18" i="184"/>
  <c r="EC18" i="184"/>
  <c r="ED18" i="184"/>
  <c r="EE18" i="184"/>
  <c r="EF18" i="184"/>
  <c r="EG18" i="184"/>
  <c r="EH18" i="184"/>
  <c r="EI18" i="184"/>
  <c r="EJ18" i="184"/>
  <c r="EK18" i="184"/>
  <c r="EL18" i="184"/>
  <c r="EM18" i="184"/>
  <c r="EN18" i="184"/>
  <c r="EO18" i="184"/>
  <c r="EP18" i="184"/>
  <c r="EQ18" i="184"/>
  <c r="ER18" i="184"/>
  <c r="ES18" i="184"/>
  <c r="ET18" i="184"/>
  <c r="EU18" i="184"/>
  <c r="EV18" i="184"/>
  <c r="EW18" i="184"/>
  <c r="EX18" i="184"/>
  <c r="EY18" i="184"/>
  <c r="EZ18" i="184"/>
  <c r="FA18" i="184"/>
  <c r="FB18" i="184"/>
  <c r="FC18" i="184"/>
  <c r="FD18" i="184"/>
  <c r="FE18" i="184"/>
  <c r="FF18" i="184"/>
  <c r="FG18" i="184"/>
  <c r="FH18" i="184"/>
  <c r="FI18" i="184"/>
  <c r="FJ18" i="184"/>
  <c r="FK18" i="184"/>
  <c r="FL18" i="184"/>
  <c r="FM18" i="184"/>
  <c r="FN18" i="184"/>
  <c r="FO18" i="184"/>
  <c r="FP18" i="184"/>
  <c r="FQ18" i="184"/>
  <c r="FR18" i="184"/>
  <c r="FS18" i="184"/>
  <c r="FT18" i="184"/>
  <c r="FU18" i="184"/>
  <c r="FV18" i="184"/>
  <c r="FW18" i="184"/>
  <c r="FX18" i="184"/>
  <c r="FY18" i="184"/>
  <c r="FZ18" i="184"/>
  <c r="GA18" i="184"/>
  <c r="GB18" i="184"/>
  <c r="GC18" i="184"/>
  <c r="GD18" i="184"/>
  <c r="GE18" i="184"/>
  <c r="GF18" i="184"/>
  <c r="GG18" i="184"/>
  <c r="GH18" i="184"/>
  <c r="GI18" i="184"/>
  <c r="GJ18" i="184"/>
  <c r="GK18" i="184"/>
  <c r="GL18" i="184"/>
  <c r="GM18" i="184"/>
  <c r="GN18" i="184"/>
  <c r="GO18" i="184"/>
  <c r="GP18" i="184"/>
  <c r="GQ18" i="184"/>
  <c r="GR18" i="184"/>
  <c r="GS18" i="184"/>
  <c r="GT18" i="184"/>
  <c r="GU18" i="184"/>
  <c r="GV18" i="184"/>
  <c r="GW18" i="184"/>
  <c r="GX18" i="184"/>
  <c r="GY18" i="184"/>
  <c r="GZ18" i="184"/>
  <c r="HA18" i="184"/>
  <c r="HB18" i="184"/>
  <c r="HC18" i="184"/>
  <c r="HD18" i="184"/>
  <c r="HE18" i="184"/>
  <c r="HF18" i="184"/>
  <c r="HG18" i="184"/>
  <c r="HH18" i="184"/>
  <c r="HI18" i="184"/>
  <c r="HJ18" i="184"/>
  <c r="HK18" i="184"/>
  <c r="HL18" i="184"/>
  <c r="HM18" i="184"/>
  <c r="HN18" i="184"/>
  <c r="HO18" i="184"/>
  <c r="HP18" i="184"/>
  <c r="HQ18" i="184"/>
  <c r="HR18" i="184"/>
  <c r="HS18" i="184"/>
  <c r="HT18" i="184"/>
  <c r="HU18" i="184"/>
  <c r="HV18" i="184"/>
  <c r="HW18" i="184"/>
  <c r="HX18" i="184"/>
  <c r="HY18" i="184"/>
  <c r="HZ18" i="184"/>
  <c r="IA18" i="184"/>
  <c r="IB18" i="184"/>
  <c r="IC18" i="184"/>
  <c r="ID18" i="184"/>
  <c r="IE18" i="184"/>
  <c r="IF18" i="184"/>
  <c r="IG18" i="184"/>
  <c r="IH18" i="184"/>
  <c r="II18" i="184"/>
  <c r="IJ18" i="184"/>
  <c r="IK18" i="184"/>
  <c r="IL18" i="184"/>
  <c r="IM18" i="184"/>
  <c r="IN18" i="184"/>
  <c r="IO18" i="184"/>
  <c r="IP18" i="184"/>
  <c r="IQ18" i="184"/>
  <c r="IR18" i="184"/>
  <c r="IS18" i="184"/>
  <c r="IT18" i="184"/>
  <c r="IU18" i="184"/>
  <c r="IV18" i="184"/>
  <c r="A17" i="184"/>
  <c r="B17" i="184"/>
  <c r="C17" i="184"/>
  <c r="D17" i="184"/>
  <c r="E17" i="184"/>
  <c r="F17" i="184"/>
  <c r="G17" i="184"/>
  <c r="H17" i="184"/>
  <c r="I17" i="184"/>
  <c r="J17" i="184"/>
  <c r="K17" i="184"/>
  <c r="L17" i="184"/>
  <c r="M17" i="184"/>
  <c r="N17" i="184"/>
  <c r="O17" i="184"/>
  <c r="P17" i="184"/>
  <c r="Q17" i="184"/>
  <c r="R17" i="184"/>
  <c r="S17" i="184"/>
  <c r="T17" i="184"/>
  <c r="U17" i="184"/>
  <c r="V17" i="184"/>
  <c r="W17" i="184"/>
  <c r="X17" i="184"/>
  <c r="Y17" i="184"/>
  <c r="Z17" i="184"/>
  <c r="AA17" i="184"/>
  <c r="AB17" i="184"/>
  <c r="AC17" i="184"/>
  <c r="AD17" i="184"/>
  <c r="AE17" i="184"/>
  <c r="AF17" i="184"/>
  <c r="AG17" i="184"/>
  <c r="AH17" i="184"/>
  <c r="AI17" i="184"/>
  <c r="AJ17" i="184"/>
  <c r="AK17" i="184"/>
  <c r="AL17" i="184"/>
  <c r="AM17" i="184"/>
  <c r="AN17" i="184"/>
  <c r="AO17" i="184"/>
  <c r="AP17" i="184"/>
  <c r="AQ17" i="184"/>
  <c r="AR17" i="184"/>
  <c r="AS17" i="184"/>
  <c r="AT17" i="184"/>
  <c r="AU17" i="184"/>
  <c r="AV17" i="184"/>
  <c r="AW17" i="184"/>
  <c r="AX17" i="184"/>
  <c r="AY17" i="184"/>
  <c r="AZ17" i="184"/>
  <c r="BA17" i="184"/>
  <c r="BB17" i="184"/>
  <c r="BC17" i="184"/>
  <c r="BD17" i="184"/>
  <c r="BE17" i="184"/>
  <c r="BF17" i="184"/>
  <c r="BG17" i="184"/>
  <c r="BH17" i="184"/>
  <c r="BI17" i="184"/>
  <c r="BJ17" i="184"/>
  <c r="BK17" i="184"/>
  <c r="BL17" i="184"/>
  <c r="BM17" i="184"/>
  <c r="BN17" i="184"/>
  <c r="BO17" i="184"/>
  <c r="BP17" i="184"/>
  <c r="BQ17" i="184"/>
  <c r="BR17" i="184"/>
  <c r="BS17" i="184"/>
  <c r="BT17" i="184"/>
  <c r="BU17" i="184"/>
  <c r="BV17" i="184"/>
  <c r="BW17" i="184"/>
  <c r="BX17" i="184"/>
  <c r="BY17" i="184"/>
  <c r="BZ17" i="184"/>
  <c r="CA17" i="184"/>
  <c r="CB17" i="184"/>
  <c r="CC17" i="184"/>
  <c r="CD17" i="184"/>
  <c r="CE17" i="184"/>
  <c r="CF17" i="184"/>
  <c r="CG17" i="184"/>
  <c r="CH17" i="184"/>
  <c r="CI17" i="184"/>
  <c r="CJ17" i="184"/>
  <c r="CK17" i="184"/>
  <c r="CL17" i="184"/>
  <c r="CM17" i="184"/>
  <c r="CN17" i="184"/>
  <c r="CO17" i="184"/>
  <c r="CP17" i="184"/>
  <c r="CQ17" i="184"/>
  <c r="CR17" i="184"/>
  <c r="CS17" i="184"/>
  <c r="CT17" i="184"/>
  <c r="CU17" i="184"/>
  <c r="CV17" i="184"/>
  <c r="CW17" i="184"/>
  <c r="CX17" i="184"/>
  <c r="CY17" i="184"/>
  <c r="CZ17" i="184"/>
  <c r="DA17" i="184"/>
  <c r="DB17" i="184"/>
  <c r="DC17" i="184"/>
  <c r="DD17" i="184"/>
  <c r="DE17" i="184"/>
  <c r="DF17" i="184"/>
  <c r="DG17" i="184"/>
  <c r="DH17" i="184"/>
  <c r="DI17" i="184"/>
  <c r="DJ17" i="184"/>
  <c r="DK17" i="184"/>
  <c r="DL17" i="184"/>
  <c r="DM17" i="184"/>
  <c r="DN17" i="184"/>
  <c r="DO17" i="184"/>
  <c r="DP17" i="184"/>
  <c r="DQ17" i="184"/>
  <c r="DR17" i="184"/>
  <c r="DS17" i="184"/>
  <c r="DT17" i="184"/>
  <c r="DU17" i="184"/>
  <c r="DV17" i="184"/>
  <c r="DW17" i="184"/>
  <c r="DX17" i="184"/>
  <c r="DY17" i="184"/>
  <c r="DZ17" i="184"/>
  <c r="EA17" i="184"/>
  <c r="EB17" i="184"/>
  <c r="EC17" i="184"/>
  <c r="ED17" i="184"/>
  <c r="EE17" i="184"/>
  <c r="EF17" i="184"/>
  <c r="EG17" i="184"/>
  <c r="EH17" i="184"/>
  <c r="EI17" i="184"/>
  <c r="EJ17" i="184"/>
  <c r="EK17" i="184"/>
  <c r="EL17" i="184"/>
  <c r="EM17" i="184"/>
  <c r="EN17" i="184"/>
  <c r="EO17" i="184"/>
  <c r="EP17" i="184"/>
  <c r="EQ17" i="184"/>
  <c r="ER17" i="184"/>
  <c r="ES17" i="184"/>
  <c r="ET17" i="184"/>
  <c r="EU17" i="184"/>
  <c r="EV17" i="184"/>
  <c r="EW17" i="184"/>
  <c r="EX17" i="184"/>
  <c r="EY17" i="184"/>
  <c r="EZ17" i="184"/>
  <c r="FA17" i="184"/>
  <c r="FB17" i="184"/>
  <c r="FC17" i="184"/>
  <c r="FD17" i="184"/>
  <c r="FE17" i="184"/>
  <c r="FF17" i="184"/>
  <c r="FG17" i="184"/>
  <c r="FH17" i="184"/>
  <c r="FI17" i="184"/>
  <c r="FJ17" i="184"/>
  <c r="FK17" i="184"/>
  <c r="FL17" i="184"/>
  <c r="FM17" i="184"/>
  <c r="FN17" i="184"/>
  <c r="FO17" i="184"/>
  <c r="FP17" i="184"/>
  <c r="FQ17" i="184"/>
  <c r="FR17" i="184"/>
  <c r="FS17" i="184"/>
  <c r="FT17" i="184"/>
  <c r="FU17" i="184"/>
  <c r="FV17" i="184"/>
  <c r="FW17" i="184"/>
  <c r="FX17" i="184"/>
  <c r="FY17" i="184"/>
  <c r="FZ17" i="184"/>
  <c r="GA17" i="184"/>
  <c r="GB17" i="184"/>
  <c r="GC17" i="184"/>
  <c r="GD17" i="184"/>
  <c r="GE17" i="184"/>
  <c r="GF17" i="184"/>
  <c r="GG17" i="184"/>
  <c r="GH17" i="184"/>
  <c r="GI17" i="184"/>
  <c r="GJ17" i="184"/>
  <c r="GK17" i="184"/>
  <c r="GL17" i="184"/>
  <c r="GM17" i="184"/>
  <c r="GN17" i="184"/>
  <c r="GO17" i="184"/>
  <c r="GP17" i="184"/>
  <c r="GQ17" i="184"/>
  <c r="GR17" i="184"/>
  <c r="GS17" i="184"/>
  <c r="GT17" i="184"/>
  <c r="GU17" i="184"/>
  <c r="GV17" i="184"/>
  <c r="GW17" i="184"/>
  <c r="GX17" i="184"/>
  <c r="GY17" i="184"/>
  <c r="GZ17" i="184"/>
  <c r="HA17" i="184"/>
  <c r="HB17" i="184"/>
  <c r="HC17" i="184"/>
  <c r="HD17" i="184"/>
  <c r="HE17" i="184"/>
  <c r="HF17" i="184"/>
  <c r="HG17" i="184"/>
  <c r="HH17" i="184"/>
  <c r="HI17" i="184"/>
  <c r="HJ17" i="184"/>
  <c r="HK17" i="184"/>
  <c r="HL17" i="184"/>
  <c r="HM17" i="184"/>
  <c r="HN17" i="184"/>
  <c r="HO17" i="184"/>
  <c r="HP17" i="184"/>
  <c r="HQ17" i="184"/>
  <c r="HR17" i="184"/>
  <c r="HS17" i="184"/>
  <c r="HT17" i="184"/>
  <c r="HU17" i="184"/>
  <c r="HV17" i="184"/>
  <c r="HW17" i="184"/>
  <c r="HX17" i="184"/>
  <c r="HY17" i="184"/>
  <c r="HZ17" i="184"/>
  <c r="IA17" i="184"/>
  <c r="IB17" i="184"/>
  <c r="IC17" i="184"/>
  <c r="ID17" i="184"/>
  <c r="IE17" i="184"/>
  <c r="IF17" i="184"/>
  <c r="IG17" i="184"/>
  <c r="IH17" i="184"/>
  <c r="II17" i="184"/>
  <c r="IJ17" i="184"/>
  <c r="IK17" i="184"/>
  <c r="IL17" i="184"/>
  <c r="IM17" i="184"/>
  <c r="IN17" i="184"/>
  <c r="IO17" i="184"/>
  <c r="IP17" i="184"/>
  <c r="IQ17" i="184"/>
  <c r="IR17" i="184"/>
  <c r="IS17" i="184"/>
  <c r="IT17" i="184"/>
  <c r="IU17" i="184"/>
  <c r="IV17" i="184"/>
  <c r="A16" i="184"/>
  <c r="B16" i="184"/>
  <c r="C16" i="184"/>
  <c r="D16" i="184"/>
  <c r="E16" i="184"/>
  <c r="F16" i="184"/>
  <c r="G16" i="184"/>
  <c r="H16" i="184"/>
  <c r="I16" i="184"/>
  <c r="J16" i="184"/>
  <c r="K16" i="184"/>
  <c r="L16" i="184"/>
  <c r="M16" i="184"/>
  <c r="N16" i="184"/>
  <c r="O16" i="184"/>
  <c r="P16" i="184"/>
  <c r="Q16" i="184"/>
  <c r="R16" i="184"/>
  <c r="S16" i="184"/>
  <c r="T16" i="184"/>
  <c r="U16" i="184"/>
  <c r="V16" i="184"/>
  <c r="W16" i="184"/>
  <c r="X16" i="184"/>
  <c r="Y16" i="184"/>
  <c r="Z16" i="184"/>
  <c r="AA16" i="184"/>
  <c r="AB16" i="184"/>
  <c r="AC16" i="184"/>
  <c r="AD16" i="184"/>
  <c r="AE16" i="184"/>
  <c r="AF16" i="184"/>
  <c r="AG16" i="184"/>
  <c r="AH16" i="184"/>
  <c r="AI16" i="184"/>
  <c r="AJ16" i="184"/>
  <c r="AK16" i="184"/>
  <c r="AL16" i="184"/>
  <c r="AM16" i="184"/>
  <c r="AN16" i="184"/>
  <c r="AO16" i="184"/>
  <c r="AP16" i="184"/>
  <c r="AQ16" i="184"/>
  <c r="AR16" i="184"/>
  <c r="AS16" i="184"/>
  <c r="AT16" i="184"/>
  <c r="AU16" i="184"/>
  <c r="AV16" i="184"/>
  <c r="AW16" i="184"/>
  <c r="AX16" i="184"/>
  <c r="AY16" i="184"/>
  <c r="AZ16" i="184"/>
  <c r="BA16" i="184"/>
  <c r="BB16" i="184"/>
  <c r="BC16" i="184"/>
  <c r="BD16" i="184"/>
  <c r="BE16" i="184"/>
  <c r="BF16" i="184"/>
  <c r="BG16" i="184"/>
  <c r="BH16" i="184"/>
  <c r="BI16" i="184"/>
  <c r="BJ16" i="184"/>
  <c r="BK16" i="184"/>
  <c r="BL16" i="184"/>
  <c r="BM16" i="184"/>
  <c r="BN16" i="184"/>
  <c r="BO16" i="184"/>
  <c r="BP16" i="184"/>
  <c r="BQ16" i="184"/>
  <c r="BR16" i="184"/>
  <c r="BS16" i="184"/>
  <c r="BT16" i="184"/>
  <c r="BU16" i="184"/>
  <c r="BV16" i="184"/>
  <c r="BW16" i="184"/>
  <c r="BX16" i="184"/>
  <c r="BY16" i="184"/>
  <c r="BZ16" i="184"/>
  <c r="CA16" i="184"/>
  <c r="CB16" i="184"/>
  <c r="CC16" i="184"/>
  <c r="CD16" i="184"/>
  <c r="CE16" i="184"/>
  <c r="CF16" i="184"/>
  <c r="CG16" i="184"/>
  <c r="CH16" i="184"/>
  <c r="CI16" i="184"/>
  <c r="CJ16" i="184"/>
  <c r="CK16" i="184"/>
  <c r="CL16" i="184"/>
  <c r="CM16" i="184"/>
  <c r="CN16" i="184"/>
  <c r="CO16" i="184"/>
  <c r="CP16" i="184"/>
  <c r="CQ16" i="184"/>
  <c r="CR16" i="184"/>
  <c r="CS16" i="184"/>
  <c r="CT16" i="184"/>
  <c r="CU16" i="184"/>
  <c r="CV16" i="184"/>
  <c r="CW16" i="184"/>
  <c r="CX16" i="184"/>
  <c r="CY16" i="184"/>
  <c r="CZ16" i="184"/>
  <c r="DA16" i="184"/>
  <c r="DB16" i="184"/>
  <c r="DC16" i="184"/>
  <c r="DD16" i="184"/>
  <c r="DE16" i="184"/>
  <c r="DF16" i="184"/>
  <c r="DG16" i="184"/>
  <c r="DH16" i="184"/>
  <c r="DI16" i="184"/>
  <c r="DJ16" i="184"/>
  <c r="DK16" i="184"/>
  <c r="DL16" i="184"/>
  <c r="DM16" i="184"/>
  <c r="DN16" i="184"/>
  <c r="DO16" i="184"/>
  <c r="DP16" i="184"/>
  <c r="DQ16" i="184"/>
  <c r="DR16" i="184"/>
  <c r="DS16" i="184"/>
  <c r="DT16" i="184"/>
  <c r="DU16" i="184"/>
  <c r="DV16" i="184"/>
  <c r="DW16" i="184"/>
  <c r="DX16" i="184"/>
  <c r="DY16" i="184"/>
  <c r="DZ16" i="184"/>
  <c r="EA16" i="184"/>
  <c r="EB16" i="184"/>
  <c r="EC16" i="184"/>
  <c r="ED16" i="184"/>
  <c r="EE16" i="184"/>
  <c r="EF16" i="184"/>
  <c r="EG16" i="184"/>
  <c r="EH16" i="184"/>
  <c r="EI16" i="184"/>
  <c r="EJ16" i="184"/>
  <c r="EK16" i="184"/>
  <c r="EL16" i="184"/>
  <c r="EM16" i="184"/>
  <c r="EN16" i="184"/>
  <c r="EO16" i="184"/>
  <c r="EP16" i="184"/>
  <c r="EQ16" i="184"/>
  <c r="ER16" i="184"/>
  <c r="ES16" i="184"/>
  <c r="ET16" i="184"/>
  <c r="EU16" i="184"/>
  <c r="EV16" i="184"/>
  <c r="EW16" i="184"/>
  <c r="EX16" i="184"/>
  <c r="EY16" i="184"/>
  <c r="EZ16" i="184"/>
  <c r="FA16" i="184"/>
  <c r="FB16" i="184"/>
  <c r="FC16" i="184"/>
  <c r="FD16" i="184"/>
  <c r="FE16" i="184"/>
  <c r="FF16" i="184"/>
  <c r="FG16" i="184"/>
  <c r="FH16" i="184"/>
  <c r="FI16" i="184"/>
  <c r="FJ16" i="184"/>
  <c r="FK16" i="184"/>
  <c r="FL16" i="184"/>
  <c r="FM16" i="184"/>
  <c r="FN16" i="184"/>
  <c r="FO16" i="184"/>
  <c r="FP16" i="184"/>
  <c r="FQ16" i="184"/>
  <c r="FR16" i="184"/>
  <c r="FS16" i="184"/>
  <c r="FT16" i="184"/>
  <c r="FU16" i="184"/>
  <c r="FV16" i="184"/>
  <c r="FW16" i="184"/>
  <c r="FX16" i="184"/>
  <c r="FY16" i="184"/>
  <c r="FZ16" i="184"/>
  <c r="GA16" i="184"/>
  <c r="GB16" i="184"/>
  <c r="GC16" i="184"/>
  <c r="GD16" i="184"/>
  <c r="GE16" i="184"/>
  <c r="GF16" i="184"/>
  <c r="GG16" i="184"/>
  <c r="GH16" i="184"/>
  <c r="GI16" i="184"/>
  <c r="GJ16" i="184"/>
  <c r="GK16" i="184"/>
  <c r="GL16" i="184"/>
  <c r="GM16" i="184"/>
  <c r="GN16" i="184"/>
  <c r="GO16" i="184"/>
  <c r="GP16" i="184"/>
  <c r="GQ16" i="184"/>
  <c r="GR16" i="184"/>
  <c r="GS16" i="184"/>
  <c r="GT16" i="184"/>
  <c r="GU16" i="184"/>
  <c r="GV16" i="184"/>
  <c r="GW16" i="184"/>
  <c r="GX16" i="184"/>
  <c r="GY16" i="184"/>
  <c r="GZ16" i="184"/>
  <c r="HA16" i="184"/>
  <c r="HB16" i="184"/>
  <c r="HC16" i="184"/>
  <c r="HD16" i="184"/>
  <c r="HE16" i="184"/>
  <c r="HF16" i="184"/>
  <c r="HG16" i="184"/>
  <c r="HH16" i="184"/>
  <c r="HI16" i="184"/>
  <c r="HJ16" i="184"/>
  <c r="HK16" i="184"/>
  <c r="HL16" i="184"/>
  <c r="HM16" i="184"/>
  <c r="HN16" i="184"/>
  <c r="HO16" i="184"/>
  <c r="HP16" i="184"/>
  <c r="HQ16" i="184"/>
  <c r="HR16" i="184"/>
  <c r="HS16" i="184"/>
  <c r="HT16" i="184"/>
  <c r="HV16" i="184"/>
  <c r="HX16" i="184"/>
  <c r="HZ16" i="184"/>
  <c r="IB16" i="184"/>
  <c r="IC16" i="184"/>
  <c r="ID16" i="184"/>
  <c r="IE16" i="184"/>
  <c r="IF16" i="184"/>
  <c r="IG16" i="184"/>
  <c r="IH16" i="184"/>
  <c r="II16" i="184"/>
  <c r="IJ16" i="184"/>
  <c r="IK16" i="184"/>
  <c r="IL16" i="184"/>
  <c r="IM16" i="184"/>
  <c r="IN16" i="184"/>
  <c r="IO16" i="184"/>
  <c r="IP16" i="184"/>
  <c r="IQ16" i="184"/>
  <c r="IR16" i="184"/>
  <c r="IS16" i="184"/>
  <c r="IT16" i="184"/>
  <c r="IU16" i="184"/>
  <c r="IV16" i="184"/>
  <c r="A15" i="184"/>
  <c r="B15" i="184"/>
  <c r="C15" i="184"/>
  <c r="D15" i="184"/>
  <c r="E15" i="184"/>
  <c r="F15" i="184"/>
  <c r="G15" i="184"/>
  <c r="H15" i="184"/>
  <c r="I15" i="184"/>
  <c r="J15" i="184"/>
  <c r="K15" i="184"/>
  <c r="L15" i="184"/>
  <c r="M15" i="184"/>
  <c r="N15" i="184"/>
  <c r="P15" i="184"/>
  <c r="Q15" i="184"/>
  <c r="R15" i="184"/>
  <c r="S15" i="184"/>
  <c r="T15" i="184"/>
  <c r="U15" i="184"/>
  <c r="V15" i="184"/>
  <c r="W15" i="184"/>
  <c r="X15" i="184"/>
  <c r="Y15" i="184"/>
  <c r="Z15" i="184"/>
  <c r="AA15" i="184"/>
  <c r="AB15" i="184"/>
  <c r="AC15" i="184"/>
  <c r="AD15" i="184"/>
  <c r="AE15" i="184"/>
  <c r="AF15" i="184"/>
  <c r="AG15" i="184"/>
  <c r="AH15" i="184"/>
  <c r="AI15" i="184"/>
  <c r="AJ15" i="184"/>
  <c r="AK15" i="184"/>
  <c r="AL15" i="184"/>
  <c r="AM15" i="184"/>
  <c r="AN15" i="184"/>
  <c r="AO15" i="184"/>
  <c r="AP15" i="184"/>
  <c r="AQ15" i="184"/>
  <c r="AR15" i="184"/>
  <c r="AS15" i="184"/>
  <c r="AT15" i="184"/>
  <c r="AU15" i="184"/>
  <c r="AV15" i="184"/>
  <c r="AW15" i="184"/>
  <c r="AX15" i="184"/>
  <c r="AY15" i="184"/>
  <c r="AZ15" i="184"/>
  <c r="BA15" i="184"/>
  <c r="BB15" i="184"/>
  <c r="BC15" i="184"/>
  <c r="BD15" i="184"/>
  <c r="BE15" i="184"/>
  <c r="BF15" i="184"/>
  <c r="BG15" i="184"/>
  <c r="BH15" i="184"/>
  <c r="BI15" i="184"/>
  <c r="BJ15" i="184"/>
  <c r="BK15" i="184"/>
  <c r="BL15" i="184"/>
  <c r="BM15" i="184"/>
  <c r="BN15" i="184"/>
  <c r="BO15" i="184"/>
  <c r="BP15" i="184"/>
  <c r="BQ15" i="184"/>
  <c r="BR15" i="184"/>
  <c r="BS15" i="184"/>
  <c r="BT15" i="184"/>
  <c r="BU15" i="184"/>
  <c r="BV15" i="184"/>
  <c r="BW15" i="184"/>
  <c r="BX15" i="184"/>
  <c r="BY15" i="184"/>
  <c r="BZ15" i="184"/>
  <c r="CA15" i="184"/>
  <c r="CB15" i="184"/>
  <c r="CC15" i="184"/>
  <c r="CD15" i="184"/>
  <c r="CE15" i="184"/>
  <c r="CF15" i="184"/>
  <c r="CG15" i="184"/>
  <c r="CH15" i="184"/>
  <c r="CI15" i="184"/>
  <c r="CJ15" i="184"/>
  <c r="CK15" i="184"/>
  <c r="CL15" i="184"/>
  <c r="CM15" i="184"/>
  <c r="CN15" i="184"/>
  <c r="CO15" i="184"/>
  <c r="CP15" i="184"/>
  <c r="CQ15" i="184"/>
  <c r="CR15" i="184"/>
  <c r="CS15" i="184"/>
  <c r="CT15" i="184"/>
  <c r="CU15" i="184"/>
  <c r="CV15" i="184"/>
  <c r="CW15" i="184"/>
  <c r="CX15" i="184"/>
  <c r="CY15" i="184"/>
  <c r="CZ15" i="184"/>
  <c r="DA15" i="184"/>
  <c r="DB15" i="184"/>
  <c r="DC15" i="184"/>
  <c r="DD15" i="184"/>
  <c r="DE15" i="184"/>
  <c r="DF15" i="184"/>
  <c r="DG15" i="184"/>
  <c r="DH15" i="184"/>
  <c r="DI15" i="184"/>
  <c r="DJ15" i="184"/>
  <c r="DK15" i="184"/>
  <c r="DL15" i="184"/>
  <c r="DM15" i="184"/>
  <c r="DN15" i="184"/>
  <c r="DO15" i="184"/>
  <c r="DP15" i="184"/>
  <c r="DQ15" i="184"/>
  <c r="DR15" i="184"/>
  <c r="DS15" i="184"/>
  <c r="DT15" i="184"/>
  <c r="DU15" i="184"/>
  <c r="DV15" i="184"/>
  <c r="DW15" i="184"/>
  <c r="DX15" i="184"/>
  <c r="DY15" i="184"/>
  <c r="DZ15" i="184"/>
  <c r="EA15" i="184"/>
  <c r="EB15" i="184"/>
  <c r="EC15" i="184"/>
  <c r="ED15" i="184"/>
  <c r="EE15" i="184"/>
  <c r="EF15" i="184"/>
  <c r="EG15" i="184"/>
  <c r="EH15" i="184"/>
  <c r="EI15" i="184"/>
  <c r="EJ15" i="184"/>
  <c r="EK15" i="184"/>
  <c r="EL15" i="184"/>
  <c r="EM15" i="184"/>
  <c r="EN15" i="184"/>
  <c r="EO15" i="184"/>
  <c r="EP15" i="184"/>
  <c r="EQ15" i="184"/>
  <c r="ER15" i="184"/>
  <c r="ES15" i="184"/>
  <c r="ET15" i="184"/>
  <c r="EU15" i="184"/>
  <c r="EV15" i="184"/>
  <c r="EW15" i="184"/>
  <c r="EX15" i="184"/>
  <c r="EY15" i="184"/>
  <c r="EZ15" i="184"/>
  <c r="FI15" i="184"/>
  <c r="FJ15" i="184"/>
  <c r="FK15" i="184"/>
  <c r="FL15" i="184"/>
  <c r="FM15" i="184"/>
  <c r="FN15" i="184"/>
  <c r="FO15" i="184"/>
  <c r="FP15" i="184"/>
  <c r="FQ15" i="184"/>
  <c r="FR15" i="184"/>
  <c r="FS15" i="184"/>
  <c r="FT15" i="184"/>
  <c r="FU15" i="184"/>
  <c r="FV15" i="184"/>
  <c r="FW15" i="184"/>
  <c r="FX15" i="184"/>
  <c r="FY15" i="184"/>
  <c r="FZ15" i="184"/>
  <c r="GA15" i="184"/>
  <c r="GB15" i="184"/>
  <c r="GC15" i="184"/>
  <c r="GD15" i="184"/>
  <c r="GE15" i="184"/>
  <c r="GF15" i="184"/>
  <c r="GG15" i="184"/>
  <c r="GH15" i="184"/>
  <c r="GI15" i="184"/>
  <c r="GJ15" i="184"/>
  <c r="GK15" i="184"/>
  <c r="GL15" i="184"/>
  <c r="GM15" i="184"/>
  <c r="GN15" i="184"/>
  <c r="GO15" i="184"/>
  <c r="GP15" i="184"/>
  <c r="GQ15" i="184"/>
  <c r="GR15" i="184"/>
  <c r="GS15" i="184"/>
  <c r="GT15" i="184"/>
  <c r="GU15" i="184"/>
  <c r="GV15" i="184"/>
  <c r="GW15" i="184"/>
  <c r="GX15" i="184"/>
  <c r="GY15" i="184"/>
  <c r="GZ15" i="184"/>
  <c r="HA15" i="184"/>
  <c r="HB15" i="184"/>
  <c r="HC15" i="184"/>
  <c r="HD15" i="184"/>
  <c r="HE15" i="184"/>
  <c r="HF15" i="184"/>
  <c r="HG15" i="184"/>
  <c r="HH15" i="184"/>
  <c r="HI15" i="184"/>
  <c r="HJ15" i="184"/>
  <c r="HK15" i="184"/>
  <c r="HL15" i="184"/>
  <c r="HM15" i="184"/>
  <c r="HN15" i="184"/>
  <c r="HO15" i="184"/>
  <c r="HP15" i="184"/>
  <c r="HQ15" i="184"/>
  <c r="HR15" i="184"/>
  <c r="HS15" i="184"/>
  <c r="HT15" i="184"/>
  <c r="HU15" i="184"/>
  <c r="HV15" i="184"/>
  <c r="HW15" i="184"/>
  <c r="HX15" i="184"/>
  <c r="HY15" i="184"/>
  <c r="HZ15" i="184"/>
  <c r="IA15" i="184"/>
  <c r="IB15" i="184"/>
  <c r="IC15" i="184"/>
  <c r="ID15" i="184"/>
  <c r="IE15" i="184"/>
  <c r="IF15" i="184"/>
  <c r="IG15" i="184"/>
  <c r="IH15" i="184"/>
  <c r="II15" i="184"/>
  <c r="IJ15" i="184"/>
  <c r="IK15" i="184"/>
  <c r="IL15" i="184"/>
  <c r="IM15" i="184"/>
  <c r="IN15" i="184"/>
  <c r="IO15" i="184"/>
  <c r="IP15" i="184"/>
  <c r="IQ15" i="184"/>
  <c r="IR15" i="184"/>
  <c r="IS15" i="184"/>
  <c r="IT15" i="184"/>
  <c r="IU15" i="184"/>
  <c r="IV15" i="184"/>
  <c r="A14" i="184"/>
  <c r="B14" i="184"/>
  <c r="C14" i="184"/>
  <c r="D14" i="184"/>
  <c r="E14" i="184"/>
  <c r="F14" i="184"/>
  <c r="G14" i="184"/>
  <c r="H14" i="184"/>
  <c r="I14" i="184"/>
  <c r="J14" i="184"/>
  <c r="L14" i="184"/>
  <c r="M14" i="184"/>
  <c r="N14" i="184"/>
  <c r="O14" i="184"/>
  <c r="P14" i="184"/>
  <c r="Q14" i="184"/>
  <c r="R14" i="184"/>
  <c r="S14" i="184"/>
  <c r="T14" i="184"/>
  <c r="U14" i="184"/>
  <c r="V14" i="184"/>
  <c r="W14" i="184"/>
  <c r="X14" i="184"/>
  <c r="Y14" i="184"/>
  <c r="Z14" i="184"/>
  <c r="AA14" i="184"/>
  <c r="AB14" i="184"/>
  <c r="AC14" i="184"/>
  <c r="AD14" i="184"/>
  <c r="AE14" i="184"/>
  <c r="AF14" i="184"/>
  <c r="AG14" i="184"/>
  <c r="AH14" i="184"/>
  <c r="AI14" i="184"/>
  <c r="AJ14" i="184"/>
  <c r="AK14" i="184"/>
  <c r="AL14" i="184"/>
  <c r="AM14" i="184"/>
  <c r="AN14" i="184"/>
  <c r="AO14" i="184"/>
  <c r="AP14" i="184"/>
  <c r="AQ14" i="184"/>
  <c r="AR14" i="184"/>
  <c r="AS14" i="184"/>
  <c r="AT14" i="184"/>
  <c r="AU14" i="184"/>
  <c r="AV14" i="184"/>
  <c r="AW14" i="184"/>
  <c r="AX14" i="184"/>
  <c r="AY14" i="184"/>
  <c r="AZ14" i="184"/>
  <c r="BA14" i="184"/>
  <c r="BB14" i="184"/>
  <c r="BC14" i="184"/>
  <c r="BD14" i="184"/>
  <c r="BE14" i="184"/>
  <c r="BF14" i="184"/>
  <c r="BG14" i="184"/>
  <c r="BH14" i="184"/>
  <c r="BI14" i="184"/>
  <c r="BJ14" i="184"/>
  <c r="BK14" i="184"/>
  <c r="BL14" i="184"/>
  <c r="BM14" i="184"/>
  <c r="BN14" i="184"/>
  <c r="BO14" i="184"/>
  <c r="BP14" i="184"/>
  <c r="BQ14" i="184"/>
  <c r="BR14" i="184"/>
  <c r="BS14" i="184"/>
  <c r="BT14" i="184"/>
  <c r="BU14" i="184"/>
  <c r="BV14" i="184"/>
  <c r="BW14" i="184"/>
  <c r="BX14" i="184"/>
  <c r="BY14" i="184"/>
  <c r="BZ14" i="184"/>
  <c r="CA14" i="184"/>
  <c r="CB14" i="184"/>
  <c r="CC14" i="184"/>
  <c r="CD14" i="184"/>
  <c r="CE14" i="184"/>
  <c r="CF14" i="184"/>
  <c r="CG14" i="184"/>
  <c r="CH14" i="184"/>
  <c r="CI14" i="184"/>
  <c r="CJ14" i="184"/>
  <c r="CK14" i="184"/>
  <c r="CL14" i="184"/>
  <c r="CM14" i="184"/>
  <c r="CN14" i="184"/>
  <c r="CO14" i="184"/>
  <c r="CP14" i="184"/>
  <c r="CQ14" i="184"/>
  <c r="CR14" i="184"/>
  <c r="CS14" i="184"/>
  <c r="CT14" i="184"/>
  <c r="CU14" i="184"/>
  <c r="CV14" i="184"/>
  <c r="CW14" i="184"/>
  <c r="CX14" i="184"/>
  <c r="CY14" i="184"/>
  <c r="CZ14" i="184"/>
  <c r="DA14" i="184"/>
  <c r="DB14" i="184"/>
  <c r="DC14" i="184"/>
  <c r="DD14" i="184"/>
  <c r="DE14" i="184"/>
  <c r="DF14" i="184"/>
  <c r="DG14" i="184"/>
  <c r="DH14" i="184"/>
  <c r="DI14" i="184"/>
  <c r="DJ14" i="184"/>
  <c r="DK14" i="184"/>
  <c r="DL14" i="184"/>
  <c r="DM14" i="184"/>
  <c r="DN14" i="184"/>
  <c r="DO14" i="184"/>
  <c r="DP14" i="184"/>
  <c r="DQ14" i="184"/>
  <c r="DR14" i="184"/>
  <c r="DS14" i="184"/>
  <c r="DT14" i="184"/>
  <c r="DU14" i="184"/>
  <c r="DV14" i="184"/>
  <c r="DW14" i="184"/>
  <c r="DX14" i="184"/>
  <c r="DY14" i="184"/>
  <c r="DZ14" i="184"/>
  <c r="EA14" i="184"/>
  <c r="EB14" i="184"/>
  <c r="EC14" i="184"/>
  <c r="ED14" i="184"/>
  <c r="EE14" i="184"/>
  <c r="EF14" i="184"/>
  <c r="EG14" i="184"/>
  <c r="EH14" i="184"/>
  <c r="EI14" i="184"/>
  <c r="EJ14" i="184"/>
  <c r="EK14" i="184"/>
  <c r="EL14" i="184"/>
  <c r="EM14" i="184"/>
  <c r="EN14" i="184"/>
  <c r="EO14" i="184"/>
  <c r="EP14" i="184"/>
  <c r="EQ14" i="184"/>
  <c r="ER14" i="184"/>
  <c r="ES14" i="184"/>
  <c r="ET14" i="184"/>
  <c r="EU14" i="184"/>
  <c r="EV14" i="184"/>
  <c r="EW14" i="184"/>
  <c r="EX14" i="184"/>
  <c r="EY14" i="184"/>
  <c r="EZ14" i="184"/>
  <c r="FA14" i="184"/>
  <c r="FB14" i="184"/>
  <c r="FC14" i="184"/>
  <c r="FD14" i="184"/>
  <c r="FE14" i="184"/>
  <c r="FF14" i="184"/>
  <c r="FG14" i="184"/>
  <c r="FH14" i="184"/>
  <c r="FI14" i="184"/>
  <c r="FJ14" i="184"/>
  <c r="FK14" i="184"/>
  <c r="FL14" i="184"/>
  <c r="FM14" i="184"/>
  <c r="FN14" i="184"/>
  <c r="FO14" i="184"/>
  <c r="FP14" i="184"/>
  <c r="FQ14" i="184"/>
  <c r="FR14" i="184"/>
  <c r="FS14" i="184"/>
  <c r="FT14" i="184"/>
  <c r="FU14" i="184"/>
  <c r="FV14" i="184"/>
  <c r="FW14" i="184"/>
  <c r="FX14" i="184"/>
  <c r="FY14" i="184"/>
  <c r="FZ14" i="184"/>
  <c r="GA14" i="184"/>
  <c r="GB14" i="184"/>
  <c r="GC14" i="184"/>
  <c r="GD14" i="184"/>
  <c r="GE14" i="184"/>
  <c r="GF14" i="184"/>
  <c r="GG14" i="184"/>
  <c r="GH14" i="184"/>
  <c r="GI14" i="184"/>
  <c r="GJ14" i="184"/>
  <c r="GK14" i="184"/>
  <c r="GL14" i="184"/>
  <c r="GM14" i="184"/>
  <c r="GN14" i="184"/>
  <c r="GO14" i="184"/>
  <c r="GP14" i="184"/>
  <c r="GQ14" i="184"/>
  <c r="GR14" i="184"/>
  <c r="GS14" i="184"/>
  <c r="GT14" i="184"/>
  <c r="GU14" i="184"/>
  <c r="GV14" i="184"/>
  <c r="GW14" i="184"/>
  <c r="GX14" i="184"/>
  <c r="GY14" i="184"/>
  <c r="GZ14" i="184"/>
  <c r="HA14" i="184"/>
  <c r="HB14" i="184"/>
  <c r="HC14" i="184"/>
  <c r="HD14" i="184"/>
  <c r="HE14" i="184"/>
  <c r="HF14" i="184"/>
  <c r="HG14" i="184"/>
  <c r="HH14" i="184"/>
  <c r="HI14" i="184"/>
  <c r="HJ14" i="184"/>
  <c r="HK14" i="184"/>
  <c r="HL14" i="184"/>
  <c r="HM14" i="184"/>
  <c r="HN14" i="184"/>
  <c r="HO14" i="184"/>
  <c r="HP14" i="184"/>
  <c r="HQ14" i="184"/>
  <c r="HR14" i="184"/>
  <c r="HS14" i="184"/>
  <c r="HT14" i="184"/>
  <c r="HU14" i="184"/>
  <c r="HV14" i="184"/>
  <c r="HW14" i="184"/>
  <c r="HX14" i="184"/>
  <c r="HY14" i="184"/>
  <c r="HZ14" i="184"/>
  <c r="IA14" i="184"/>
  <c r="IB14" i="184"/>
  <c r="IC14" i="184"/>
  <c r="ID14" i="184"/>
  <c r="IE14" i="184"/>
  <c r="IF14" i="184"/>
  <c r="IG14" i="184"/>
  <c r="IH14" i="184"/>
  <c r="II14" i="184"/>
  <c r="IJ14" i="184"/>
  <c r="IK14" i="184"/>
  <c r="IL14" i="184"/>
  <c r="IM14" i="184"/>
  <c r="IN14" i="184"/>
  <c r="IO14" i="184"/>
  <c r="IP14" i="184"/>
  <c r="IQ14" i="184"/>
  <c r="IR14" i="184"/>
  <c r="IS14" i="184"/>
  <c r="IT14" i="184"/>
  <c r="IU14" i="184"/>
  <c r="IV14" i="184"/>
  <c r="A13" i="184"/>
  <c r="B13" i="184"/>
  <c r="C13" i="184"/>
  <c r="D13" i="184"/>
  <c r="E13" i="184"/>
  <c r="F13" i="184"/>
  <c r="G13" i="184"/>
  <c r="H13" i="184"/>
  <c r="I13" i="184"/>
  <c r="J13" i="184"/>
  <c r="K13" i="184"/>
  <c r="L13" i="184"/>
  <c r="M13" i="184"/>
  <c r="N13" i="184"/>
  <c r="O13" i="184"/>
  <c r="P13" i="184"/>
  <c r="Q13" i="184"/>
  <c r="R13" i="184"/>
  <c r="S13" i="184"/>
  <c r="T13" i="184"/>
  <c r="U13" i="184"/>
  <c r="V13" i="184"/>
  <c r="W13" i="184"/>
  <c r="X13" i="184"/>
  <c r="Y13" i="184"/>
  <c r="Z13" i="184"/>
  <c r="AA13" i="184"/>
  <c r="AB13" i="184"/>
  <c r="AC13" i="184"/>
  <c r="AD13" i="184"/>
  <c r="AE13" i="184"/>
  <c r="AF13" i="184"/>
  <c r="AG13" i="184"/>
  <c r="AH13" i="184"/>
  <c r="AI13" i="184"/>
  <c r="AJ13" i="184"/>
  <c r="AK13" i="184"/>
  <c r="AL13" i="184"/>
  <c r="AM13" i="184"/>
  <c r="AN13" i="184"/>
  <c r="AO13" i="184"/>
  <c r="AP13" i="184"/>
  <c r="AQ13" i="184"/>
  <c r="AR13" i="184"/>
  <c r="AS13" i="184"/>
  <c r="AT13" i="184"/>
  <c r="AU13" i="184"/>
  <c r="AV13" i="184"/>
  <c r="AW13" i="184"/>
  <c r="AX13" i="184"/>
  <c r="AY13" i="184"/>
  <c r="AZ13" i="184"/>
  <c r="BA13" i="184"/>
  <c r="BB13" i="184"/>
  <c r="BC13" i="184"/>
  <c r="BD13" i="184"/>
  <c r="BE13" i="184"/>
  <c r="BF13" i="184"/>
  <c r="BG13" i="184"/>
  <c r="BH13" i="184"/>
  <c r="BI13" i="184"/>
  <c r="BJ13" i="184"/>
  <c r="BK13" i="184"/>
  <c r="BL13" i="184"/>
  <c r="BM13" i="184"/>
  <c r="BN13" i="184"/>
  <c r="BO13" i="184"/>
  <c r="BP13" i="184"/>
  <c r="BQ13" i="184"/>
  <c r="BR13" i="184"/>
  <c r="BS13" i="184"/>
  <c r="BT13" i="184"/>
  <c r="BU13" i="184"/>
  <c r="BV13" i="184"/>
  <c r="BW13" i="184"/>
  <c r="BX13" i="184"/>
  <c r="BY13" i="184"/>
  <c r="BZ13" i="184"/>
  <c r="CA13" i="184"/>
  <c r="CB13" i="184"/>
  <c r="CC13" i="184"/>
  <c r="CD13" i="184"/>
  <c r="CE13" i="184"/>
  <c r="CF13" i="184"/>
  <c r="CG13" i="184"/>
  <c r="CH13" i="184"/>
  <c r="CI13" i="184"/>
  <c r="CJ13" i="184"/>
  <c r="CK13" i="184"/>
  <c r="CL13" i="184"/>
  <c r="CM13" i="184"/>
  <c r="CN13" i="184"/>
  <c r="CO13" i="184"/>
  <c r="CP13" i="184"/>
  <c r="CQ13" i="184"/>
  <c r="CR13" i="184"/>
  <c r="CS13" i="184"/>
  <c r="CT13" i="184"/>
  <c r="CU13" i="184"/>
  <c r="CV13" i="184"/>
  <c r="CW13" i="184"/>
  <c r="CX13" i="184"/>
  <c r="CY13" i="184"/>
  <c r="CZ13" i="184"/>
  <c r="DA13" i="184"/>
  <c r="DB13" i="184"/>
  <c r="DC13" i="184"/>
  <c r="DD13" i="184"/>
  <c r="DE13" i="184"/>
  <c r="DF13" i="184"/>
  <c r="DG13" i="184"/>
  <c r="DH13" i="184"/>
  <c r="DI13" i="184"/>
  <c r="DJ13" i="184"/>
  <c r="DK13" i="184"/>
  <c r="DL13" i="184"/>
  <c r="DM13" i="184"/>
  <c r="DN13" i="184"/>
  <c r="DO13" i="184"/>
  <c r="DP13" i="184"/>
  <c r="DQ13" i="184"/>
  <c r="DR13" i="184"/>
  <c r="DS13" i="184"/>
  <c r="DT13" i="184"/>
  <c r="DU13" i="184"/>
  <c r="DV13" i="184"/>
  <c r="DW13" i="184"/>
  <c r="DX13" i="184"/>
  <c r="DY13" i="184"/>
  <c r="DZ13" i="184"/>
  <c r="EA13" i="184"/>
  <c r="EB13" i="184"/>
  <c r="EC13" i="184"/>
  <c r="ED13" i="184"/>
  <c r="EE13" i="184"/>
  <c r="EF13" i="184"/>
  <c r="EG13" i="184"/>
  <c r="EH13" i="184"/>
  <c r="EI13" i="184"/>
  <c r="EJ13" i="184"/>
  <c r="EK13" i="184"/>
  <c r="EL13" i="184"/>
  <c r="EM13" i="184"/>
  <c r="EN13" i="184"/>
  <c r="EO13" i="184"/>
  <c r="EP13" i="184"/>
  <c r="EQ13" i="184"/>
  <c r="ER13" i="184"/>
  <c r="ES13" i="184"/>
  <c r="ET13" i="184"/>
  <c r="EU13" i="184"/>
  <c r="EV13" i="184"/>
  <c r="EW13" i="184"/>
  <c r="EX13" i="184"/>
  <c r="EY13" i="184"/>
  <c r="EZ13" i="184"/>
  <c r="FA13" i="184"/>
  <c r="FB13" i="184"/>
  <c r="FC13" i="184"/>
  <c r="FD13" i="184"/>
  <c r="FE13" i="184"/>
  <c r="FF13" i="184"/>
  <c r="FG13" i="184"/>
  <c r="FH13" i="184"/>
  <c r="FI13" i="184"/>
  <c r="FJ13" i="184"/>
  <c r="FK13" i="184"/>
  <c r="FL13" i="184"/>
  <c r="FM13" i="184"/>
  <c r="FN13" i="184"/>
  <c r="FO13" i="184"/>
  <c r="FP13" i="184"/>
  <c r="FQ13" i="184"/>
  <c r="FR13" i="184"/>
  <c r="FS13" i="184"/>
  <c r="FT13" i="184"/>
  <c r="FU13" i="184"/>
  <c r="FV13" i="184"/>
  <c r="FW13" i="184"/>
  <c r="FX13" i="184"/>
  <c r="FY13" i="184"/>
  <c r="FZ13" i="184"/>
  <c r="GA13" i="184"/>
  <c r="GB13" i="184"/>
  <c r="GC13" i="184"/>
  <c r="GD13" i="184"/>
  <c r="GE13" i="184"/>
  <c r="GF13" i="184"/>
  <c r="GG13" i="184"/>
  <c r="GH13" i="184"/>
  <c r="GI13" i="184"/>
  <c r="GJ13" i="184"/>
  <c r="GK13" i="184"/>
  <c r="GL13" i="184"/>
  <c r="GM13" i="184"/>
  <c r="GN13" i="184"/>
  <c r="GO13" i="184"/>
  <c r="GP13" i="184"/>
  <c r="GQ13" i="184"/>
  <c r="GR13" i="184"/>
  <c r="GS13" i="184"/>
  <c r="GT13" i="184"/>
  <c r="GU13" i="184"/>
  <c r="GV13" i="184"/>
  <c r="GW13" i="184"/>
  <c r="GX13" i="184"/>
  <c r="GY13" i="184"/>
  <c r="GZ13" i="184"/>
  <c r="HA13" i="184"/>
  <c r="HB13" i="184"/>
  <c r="HC13" i="184"/>
  <c r="HD13" i="184"/>
  <c r="HE13" i="184"/>
  <c r="HF13" i="184"/>
  <c r="HG13" i="184"/>
  <c r="HH13" i="184"/>
  <c r="HI13" i="184"/>
  <c r="HJ13" i="184"/>
  <c r="HK13" i="184"/>
  <c r="HL13" i="184"/>
  <c r="HM13" i="184"/>
  <c r="HN13" i="184"/>
  <c r="HO13" i="184"/>
  <c r="HP13" i="184"/>
  <c r="HQ13" i="184"/>
  <c r="HR13" i="184"/>
  <c r="HS13" i="184"/>
  <c r="HT13" i="184"/>
  <c r="HU13" i="184"/>
  <c r="HV13" i="184"/>
  <c r="HW13" i="184"/>
  <c r="HX13" i="184"/>
  <c r="HY13" i="184"/>
  <c r="HZ13" i="184"/>
  <c r="IA13" i="184"/>
  <c r="IB13" i="184"/>
  <c r="IC13" i="184"/>
  <c r="ID13" i="184"/>
  <c r="IE13" i="184"/>
  <c r="IF13" i="184"/>
  <c r="IG13" i="184"/>
  <c r="IH13" i="184"/>
  <c r="II13" i="184"/>
  <c r="IJ13" i="184"/>
  <c r="IK13" i="184"/>
  <c r="IL13" i="184"/>
  <c r="IM13" i="184"/>
  <c r="IN13" i="184"/>
  <c r="IO13" i="184"/>
  <c r="IP13" i="184"/>
  <c r="IQ13" i="184"/>
  <c r="IR13" i="184"/>
  <c r="IS13" i="184"/>
  <c r="IT13" i="184"/>
  <c r="IU13" i="184"/>
  <c r="IV13" i="184"/>
  <c r="A12" i="184"/>
  <c r="B12" i="184"/>
  <c r="C12" i="184"/>
  <c r="D12" i="184"/>
  <c r="E12" i="184"/>
  <c r="F12" i="184"/>
  <c r="G12" i="184"/>
  <c r="I12" i="184"/>
  <c r="J12" i="184"/>
  <c r="K12" i="184"/>
  <c r="L12" i="184"/>
  <c r="M12" i="184"/>
  <c r="N12" i="184"/>
  <c r="O12" i="184"/>
  <c r="P12" i="184"/>
  <c r="Q12" i="184"/>
  <c r="R12" i="184"/>
  <c r="S12" i="184"/>
  <c r="T12" i="184"/>
  <c r="U12" i="184"/>
  <c r="V12" i="184"/>
  <c r="W12" i="184"/>
  <c r="X12" i="184"/>
  <c r="Y12" i="184"/>
  <c r="Z12" i="184"/>
  <c r="AA12" i="184"/>
  <c r="AB12" i="184"/>
  <c r="AC12" i="184"/>
  <c r="AD12" i="184"/>
  <c r="AE12" i="184"/>
  <c r="AF12" i="184"/>
  <c r="AG12" i="184"/>
  <c r="AH12" i="184"/>
  <c r="AI12" i="184"/>
  <c r="AJ12" i="184"/>
  <c r="AK12" i="184"/>
  <c r="AL12" i="184"/>
  <c r="AM12" i="184"/>
  <c r="AN12" i="184"/>
  <c r="AO12" i="184"/>
  <c r="AP12" i="184"/>
  <c r="AQ12" i="184"/>
  <c r="AR12" i="184"/>
  <c r="AS12" i="184"/>
  <c r="AT12" i="184"/>
  <c r="AU12" i="184"/>
  <c r="AV12" i="184"/>
  <c r="AW12" i="184"/>
  <c r="AX12" i="184"/>
  <c r="AY12" i="184"/>
  <c r="AZ12" i="184"/>
  <c r="BA12" i="184"/>
  <c r="BB12" i="184"/>
  <c r="BC12" i="184"/>
  <c r="BD12" i="184"/>
  <c r="BE12" i="184"/>
  <c r="BF12" i="184"/>
  <c r="BG12" i="184"/>
  <c r="BH12" i="184"/>
  <c r="BI12" i="184"/>
  <c r="BJ12" i="184"/>
  <c r="BK12" i="184"/>
  <c r="BL12" i="184"/>
  <c r="BM12" i="184"/>
  <c r="BN12" i="184"/>
  <c r="BO12" i="184"/>
  <c r="BP12" i="184"/>
  <c r="BQ12" i="184"/>
  <c r="BR12" i="184"/>
  <c r="BS12" i="184"/>
  <c r="BT12" i="184"/>
  <c r="BU12" i="184"/>
  <c r="BV12" i="184"/>
  <c r="BW12" i="184"/>
  <c r="BX12" i="184"/>
  <c r="BY12" i="184"/>
  <c r="BZ12" i="184"/>
  <c r="CA12" i="184"/>
  <c r="CB12" i="184"/>
  <c r="CC12" i="184"/>
  <c r="CD12" i="184"/>
  <c r="CE12" i="184"/>
  <c r="CF12" i="184"/>
  <c r="CG12" i="184"/>
  <c r="CH12" i="184"/>
  <c r="CI12" i="184"/>
  <c r="CJ12" i="184"/>
  <c r="CK12" i="184"/>
  <c r="CL12" i="184"/>
  <c r="CM12" i="184"/>
  <c r="CN12" i="184"/>
  <c r="CO12" i="184"/>
  <c r="CP12" i="184"/>
  <c r="CQ12" i="184"/>
  <c r="CR12" i="184"/>
  <c r="CS12" i="184"/>
  <c r="CT12" i="184"/>
  <c r="CU12" i="184"/>
  <c r="CV12" i="184"/>
  <c r="CW12" i="184"/>
  <c r="CX12" i="184"/>
  <c r="CY12" i="184"/>
  <c r="CZ12" i="184"/>
  <c r="DA12" i="184"/>
  <c r="DB12" i="184"/>
  <c r="DC12" i="184"/>
  <c r="DD12" i="184"/>
  <c r="DE12" i="184"/>
  <c r="DF12" i="184"/>
  <c r="DG12" i="184"/>
  <c r="DH12" i="184"/>
  <c r="DI12" i="184"/>
  <c r="DJ12" i="184"/>
  <c r="DK12" i="184"/>
  <c r="DL12" i="184"/>
  <c r="DM12" i="184"/>
  <c r="DN12" i="184"/>
  <c r="DO12" i="184"/>
  <c r="DP12" i="184"/>
  <c r="DQ12" i="184"/>
  <c r="DR12" i="184"/>
  <c r="DS12" i="184"/>
  <c r="DT12" i="184"/>
  <c r="DU12" i="184"/>
  <c r="DV12" i="184"/>
  <c r="DW12" i="184"/>
  <c r="DX12" i="184"/>
  <c r="DY12" i="184"/>
  <c r="DZ12" i="184"/>
  <c r="EA12" i="184"/>
  <c r="EB12" i="184"/>
  <c r="EC12" i="184"/>
  <c r="ED12" i="184"/>
  <c r="EE12" i="184"/>
  <c r="EF12" i="184"/>
  <c r="EG12" i="184"/>
  <c r="EH12" i="184"/>
  <c r="EI12" i="184"/>
  <c r="EJ12" i="184"/>
  <c r="EK12" i="184"/>
  <c r="EL12" i="184"/>
  <c r="EM12" i="184"/>
  <c r="EN12" i="184"/>
  <c r="EO12" i="184"/>
  <c r="EP12" i="184"/>
  <c r="EQ12" i="184"/>
  <c r="ER12" i="184"/>
  <c r="ES12" i="184"/>
  <c r="ET12" i="184"/>
  <c r="EU12" i="184"/>
  <c r="EV12" i="184"/>
  <c r="EW12" i="184"/>
  <c r="EX12" i="184"/>
  <c r="EY12" i="184"/>
  <c r="EZ12" i="184"/>
  <c r="FA12" i="184"/>
  <c r="FB12" i="184"/>
  <c r="FC12" i="184"/>
  <c r="FD12" i="184"/>
  <c r="FE12" i="184"/>
  <c r="FF12" i="184"/>
  <c r="FG12" i="184"/>
  <c r="FH12" i="184"/>
  <c r="FI12" i="184"/>
  <c r="FJ12" i="184"/>
  <c r="FK12" i="184"/>
  <c r="FL12" i="184"/>
  <c r="FM12" i="184"/>
  <c r="FN12" i="184"/>
  <c r="FO12" i="184"/>
  <c r="FP12" i="184"/>
  <c r="FQ12" i="184"/>
  <c r="FR12" i="184"/>
  <c r="FS12" i="184"/>
  <c r="FT12" i="184"/>
  <c r="FU12" i="184"/>
  <c r="FV12" i="184"/>
  <c r="FW12" i="184"/>
  <c r="FX12" i="184"/>
  <c r="FY12" i="184"/>
  <c r="FZ12" i="184"/>
  <c r="GA12" i="184"/>
  <c r="GB12" i="184"/>
  <c r="GC12" i="184"/>
  <c r="GD12" i="184"/>
  <c r="GE12" i="184"/>
  <c r="GF12" i="184"/>
  <c r="GG12" i="184"/>
  <c r="GH12" i="184"/>
  <c r="GI12" i="184"/>
  <c r="GJ12" i="184"/>
  <c r="GK12" i="184"/>
  <c r="GL12" i="184"/>
  <c r="GM12" i="184"/>
  <c r="GN12" i="184"/>
  <c r="GO12" i="184"/>
  <c r="GP12" i="184"/>
  <c r="GQ12" i="184"/>
  <c r="GR12" i="184"/>
  <c r="GS12" i="184"/>
  <c r="GT12" i="184"/>
  <c r="GU12" i="184"/>
  <c r="GV12" i="184"/>
  <c r="GW12" i="184"/>
  <c r="GX12" i="184"/>
  <c r="GY12" i="184"/>
  <c r="GZ12" i="184"/>
  <c r="HA12" i="184"/>
  <c r="HB12" i="184"/>
  <c r="HC12" i="184"/>
  <c r="HD12" i="184"/>
  <c r="HE12" i="184"/>
  <c r="HF12" i="184"/>
  <c r="HG12" i="184"/>
  <c r="HH12" i="184"/>
  <c r="HI12" i="184"/>
  <c r="HJ12" i="184"/>
  <c r="HK12" i="184"/>
  <c r="HL12" i="184"/>
  <c r="HM12" i="184"/>
  <c r="HN12" i="184"/>
  <c r="HO12" i="184"/>
  <c r="HP12" i="184"/>
  <c r="HQ12" i="184"/>
  <c r="HR12" i="184"/>
  <c r="HS12" i="184"/>
  <c r="HT12" i="184"/>
  <c r="HU12" i="184"/>
  <c r="HV12" i="184"/>
  <c r="HW12" i="184"/>
  <c r="HX12" i="184"/>
  <c r="HY12" i="184"/>
  <c r="HZ12" i="184"/>
  <c r="IA12" i="184"/>
  <c r="IB12" i="184"/>
  <c r="IC12" i="184"/>
  <c r="ID12" i="184"/>
  <c r="IE12" i="184"/>
  <c r="IF12" i="184"/>
  <c r="IG12" i="184"/>
  <c r="IH12" i="184"/>
  <c r="II12" i="184"/>
  <c r="IJ12" i="184"/>
  <c r="IK12" i="184"/>
  <c r="IL12" i="184"/>
  <c r="IM12" i="184"/>
  <c r="IN12" i="184"/>
  <c r="IO12" i="184"/>
  <c r="IP12" i="184"/>
  <c r="IQ12" i="184"/>
  <c r="IR12" i="184"/>
  <c r="IS12" i="184"/>
  <c r="IT12" i="184"/>
  <c r="IU12" i="184"/>
  <c r="IV12" i="184"/>
  <c r="A11" i="184"/>
  <c r="B11" i="184"/>
  <c r="C11" i="184"/>
  <c r="E11" i="184"/>
  <c r="F11" i="184"/>
  <c r="G11" i="184"/>
  <c r="H11" i="184"/>
  <c r="I11" i="184"/>
  <c r="J11" i="184"/>
  <c r="K11" i="184"/>
  <c r="L11" i="184"/>
  <c r="M11" i="184"/>
  <c r="N11" i="184"/>
  <c r="O11" i="184"/>
  <c r="P11" i="184"/>
  <c r="Q11" i="184"/>
  <c r="R11" i="184"/>
  <c r="S11" i="184"/>
  <c r="T11" i="184"/>
  <c r="U11" i="184"/>
  <c r="V11" i="184"/>
  <c r="W11" i="184"/>
  <c r="X11" i="184"/>
  <c r="Y11" i="184"/>
  <c r="Z11" i="184"/>
  <c r="AA11" i="184"/>
  <c r="AB11" i="184"/>
  <c r="AC11" i="184"/>
  <c r="AD11" i="184"/>
  <c r="AE11" i="184"/>
  <c r="AF11" i="184"/>
  <c r="AG11" i="184"/>
  <c r="AH11" i="184"/>
  <c r="AI11" i="184"/>
  <c r="AJ11" i="184"/>
  <c r="AK11" i="184"/>
  <c r="AL11" i="184"/>
  <c r="AM11" i="184"/>
  <c r="AN11" i="184"/>
  <c r="AO11" i="184"/>
  <c r="AP11" i="184"/>
  <c r="AQ11" i="184"/>
  <c r="AR11" i="184"/>
  <c r="AS11" i="184"/>
  <c r="AT11" i="184"/>
  <c r="AU11" i="184"/>
  <c r="AV11" i="184"/>
  <c r="AW11" i="184"/>
  <c r="AX11" i="184"/>
  <c r="AY11" i="184"/>
  <c r="AZ11" i="184"/>
  <c r="BA11" i="184"/>
  <c r="BB11" i="184"/>
  <c r="BC11" i="184"/>
  <c r="BD11" i="184"/>
  <c r="BE11" i="184"/>
  <c r="BF11" i="184"/>
  <c r="BG11" i="184"/>
  <c r="BH11" i="184"/>
  <c r="BI11" i="184"/>
  <c r="BJ11" i="184"/>
  <c r="BK11" i="184"/>
  <c r="BL11" i="184"/>
  <c r="BM11" i="184"/>
  <c r="BN11" i="184"/>
  <c r="BO11" i="184"/>
  <c r="BP11" i="184"/>
  <c r="BQ11" i="184"/>
  <c r="BR11" i="184"/>
  <c r="BS11" i="184"/>
  <c r="BT11" i="184"/>
  <c r="BU11" i="184"/>
  <c r="BV11" i="184"/>
  <c r="BW11" i="184"/>
  <c r="BX11" i="184"/>
  <c r="BY11" i="184"/>
  <c r="BZ11" i="184"/>
  <c r="CA11" i="184"/>
  <c r="CB11" i="184"/>
  <c r="CC11" i="184"/>
  <c r="CD11" i="184"/>
  <c r="CE11" i="184"/>
  <c r="CF11" i="184"/>
  <c r="CG11" i="184"/>
  <c r="CH11" i="184"/>
  <c r="CI11" i="184"/>
  <c r="CJ11" i="184"/>
  <c r="CK11" i="184"/>
  <c r="CL11" i="184"/>
  <c r="CM11" i="184"/>
  <c r="CN11" i="184"/>
  <c r="CO11" i="184"/>
  <c r="CP11" i="184"/>
  <c r="CQ11" i="184"/>
  <c r="CR11" i="184"/>
  <c r="CS11" i="184"/>
  <c r="CT11" i="184"/>
  <c r="CU11" i="184"/>
  <c r="CV11" i="184"/>
  <c r="CW11" i="184"/>
  <c r="CX11" i="184"/>
  <c r="CY11" i="184"/>
  <c r="CZ11" i="184"/>
  <c r="DA11" i="184"/>
  <c r="DB11" i="184"/>
  <c r="DC11" i="184"/>
  <c r="DD11" i="184"/>
  <c r="DE11" i="184"/>
  <c r="DF11" i="184"/>
  <c r="DG11" i="184"/>
  <c r="DH11" i="184"/>
  <c r="DI11" i="184"/>
  <c r="DJ11" i="184"/>
  <c r="DK11" i="184"/>
  <c r="DL11" i="184"/>
  <c r="DM11" i="184"/>
  <c r="DN11" i="184"/>
  <c r="DO11" i="184"/>
  <c r="DP11" i="184"/>
  <c r="DQ11" i="184"/>
  <c r="DR11" i="184"/>
  <c r="DS11" i="184"/>
  <c r="DT11" i="184"/>
  <c r="DU11" i="184"/>
  <c r="DV11" i="184"/>
  <c r="DW11" i="184"/>
  <c r="DX11" i="184"/>
  <c r="DY11" i="184"/>
  <c r="DZ11" i="184"/>
  <c r="EA11" i="184"/>
  <c r="EB11" i="184"/>
  <c r="EC11" i="184"/>
  <c r="ED11" i="184"/>
  <c r="EE11" i="184"/>
  <c r="EF11" i="184"/>
  <c r="EG11" i="184"/>
  <c r="EH11" i="184"/>
  <c r="EI11" i="184"/>
  <c r="EJ11" i="184"/>
  <c r="EK11" i="184"/>
  <c r="EL11" i="184"/>
  <c r="EM11" i="184"/>
  <c r="EN11" i="184"/>
  <c r="EO11" i="184"/>
  <c r="EP11" i="184"/>
  <c r="EQ11" i="184"/>
  <c r="ER11" i="184"/>
  <c r="ES11" i="184"/>
  <c r="ET11" i="184"/>
  <c r="EU11" i="184"/>
  <c r="EV11" i="184"/>
  <c r="EW11" i="184"/>
  <c r="EX11" i="184"/>
  <c r="EY11" i="184"/>
  <c r="EZ11" i="184"/>
  <c r="FA11" i="184"/>
  <c r="FB11" i="184"/>
  <c r="FC11" i="184"/>
  <c r="FD11" i="184"/>
  <c r="FE11" i="184"/>
  <c r="FF11" i="184"/>
  <c r="FG11" i="184"/>
  <c r="FH11" i="184"/>
  <c r="FI11" i="184"/>
  <c r="FJ11" i="184"/>
  <c r="FK11" i="184"/>
  <c r="FL11" i="184"/>
  <c r="FM11" i="184"/>
  <c r="FN11" i="184"/>
  <c r="FO11" i="184"/>
  <c r="FP11" i="184"/>
  <c r="FQ11" i="184"/>
  <c r="FR11" i="184"/>
  <c r="FS11" i="184"/>
  <c r="FT11" i="184"/>
  <c r="FU11" i="184"/>
  <c r="FV11" i="184"/>
  <c r="FW11" i="184"/>
  <c r="FX11" i="184"/>
  <c r="FY11" i="184"/>
  <c r="FZ11" i="184"/>
  <c r="GA11" i="184"/>
  <c r="GB11" i="184"/>
  <c r="GC11" i="184"/>
  <c r="GD11" i="184"/>
  <c r="GE11" i="184"/>
  <c r="GF11" i="184"/>
  <c r="GG11" i="184"/>
  <c r="GH11" i="184"/>
  <c r="GI11" i="184"/>
  <c r="GJ11" i="184"/>
  <c r="GK11" i="184"/>
  <c r="GL11" i="184"/>
  <c r="GM11" i="184"/>
  <c r="GN11" i="184"/>
  <c r="GO11" i="184"/>
  <c r="GP11" i="184"/>
  <c r="GQ11" i="184"/>
  <c r="GR11" i="184"/>
  <c r="GS11" i="184"/>
  <c r="GT11" i="184"/>
  <c r="GU11" i="184"/>
  <c r="GV11" i="184"/>
  <c r="GW11" i="184"/>
  <c r="GX11" i="184"/>
  <c r="GY11" i="184"/>
  <c r="GZ11" i="184"/>
  <c r="HA11" i="184"/>
  <c r="HB11" i="184"/>
  <c r="HC11" i="184"/>
  <c r="HD11" i="184"/>
  <c r="HE11" i="184"/>
  <c r="HF11" i="184"/>
  <c r="HG11" i="184"/>
  <c r="HH11" i="184"/>
  <c r="HI11" i="184"/>
  <c r="HJ11" i="184"/>
  <c r="HK11" i="184"/>
  <c r="HL11" i="184"/>
  <c r="HM11" i="184"/>
  <c r="HN11" i="184"/>
  <c r="HO11" i="184"/>
  <c r="HP11" i="184"/>
  <c r="HQ11" i="184"/>
  <c r="HR11" i="184"/>
  <c r="HS11" i="184"/>
  <c r="HT11" i="184"/>
  <c r="HU11" i="184"/>
  <c r="HV11" i="184"/>
  <c r="HW11" i="184"/>
  <c r="HX11" i="184"/>
  <c r="HY11" i="184"/>
  <c r="HZ11" i="184"/>
  <c r="IA11" i="184"/>
  <c r="IB11" i="184"/>
  <c r="IC11" i="184"/>
  <c r="ID11" i="184"/>
  <c r="IE11" i="184"/>
  <c r="IF11" i="184"/>
  <c r="IG11" i="184"/>
  <c r="IH11" i="184"/>
  <c r="II11" i="184"/>
  <c r="IJ11" i="184"/>
  <c r="IK11" i="184"/>
  <c r="IL11" i="184"/>
  <c r="IM11" i="184"/>
  <c r="IN11" i="184"/>
  <c r="IO11" i="184"/>
  <c r="IP11" i="184"/>
  <c r="IQ11" i="184"/>
  <c r="IR11" i="184"/>
  <c r="IS11" i="184"/>
  <c r="IT11" i="184"/>
  <c r="IU11" i="184"/>
  <c r="IV11" i="184"/>
  <c r="A10" i="184"/>
  <c r="B10" i="184"/>
  <c r="C10" i="184"/>
  <c r="D10" i="184"/>
  <c r="E10" i="184"/>
  <c r="F10" i="184"/>
  <c r="G10" i="184"/>
  <c r="H10" i="184"/>
  <c r="I10" i="184"/>
  <c r="J10" i="184"/>
  <c r="K10" i="184"/>
  <c r="L10" i="184"/>
  <c r="M10" i="184"/>
  <c r="N10" i="184"/>
  <c r="O10" i="184"/>
  <c r="P10" i="184"/>
  <c r="Q10" i="184"/>
  <c r="R10" i="184"/>
  <c r="S10" i="184"/>
  <c r="T10" i="184"/>
  <c r="U10" i="184"/>
  <c r="V10" i="184"/>
  <c r="W10" i="184"/>
  <c r="X10" i="184"/>
  <c r="Y10" i="184"/>
  <c r="Z10" i="184"/>
  <c r="AA10" i="184"/>
  <c r="AB10" i="184"/>
  <c r="AC10" i="184"/>
  <c r="AD10" i="184"/>
  <c r="AE10" i="184"/>
  <c r="AF10" i="184"/>
  <c r="AG10" i="184"/>
  <c r="AH10" i="184"/>
  <c r="AI10" i="184"/>
  <c r="AJ10" i="184"/>
  <c r="AK10" i="184"/>
  <c r="AL10" i="184"/>
  <c r="AM10" i="184"/>
  <c r="AN10" i="184"/>
  <c r="AO10" i="184"/>
  <c r="AP10" i="184"/>
  <c r="AQ10" i="184"/>
  <c r="AR10" i="184"/>
  <c r="AS10" i="184"/>
  <c r="AT10" i="184"/>
  <c r="AU10" i="184"/>
  <c r="AV10" i="184"/>
  <c r="AW10" i="184"/>
  <c r="AX10" i="184"/>
  <c r="AY10" i="184"/>
  <c r="AZ10" i="184"/>
  <c r="BA10" i="184"/>
  <c r="BB10" i="184"/>
  <c r="BC10" i="184"/>
  <c r="BD10" i="184"/>
  <c r="BE10" i="184"/>
  <c r="BF10" i="184"/>
  <c r="BG10" i="184"/>
  <c r="BH10" i="184"/>
  <c r="BI10" i="184"/>
  <c r="BJ10" i="184"/>
  <c r="BK10" i="184"/>
  <c r="BL10" i="184"/>
  <c r="BM10" i="184"/>
  <c r="BN10" i="184"/>
  <c r="BO10" i="184"/>
  <c r="BP10" i="184"/>
  <c r="BQ10" i="184"/>
  <c r="BR10" i="184"/>
  <c r="BS10" i="184"/>
  <c r="BT10" i="184"/>
  <c r="BU10" i="184"/>
  <c r="BV10" i="184"/>
  <c r="BW10" i="184"/>
  <c r="BX10" i="184"/>
  <c r="BY10" i="184"/>
  <c r="BZ10" i="184"/>
  <c r="CA10" i="184"/>
  <c r="CB10" i="184"/>
  <c r="CC10" i="184"/>
  <c r="CD10" i="184"/>
  <c r="CE10" i="184"/>
  <c r="CF10" i="184"/>
  <c r="CG10" i="184"/>
  <c r="CH10" i="184"/>
  <c r="CI10" i="184"/>
  <c r="CJ10" i="184"/>
  <c r="CK10" i="184"/>
  <c r="CL10" i="184"/>
  <c r="CM10" i="184"/>
  <c r="CN10" i="184"/>
  <c r="CO10" i="184"/>
  <c r="CP10" i="184"/>
  <c r="CQ10" i="184"/>
  <c r="CR10" i="184"/>
  <c r="CS10" i="184"/>
  <c r="CT10" i="184"/>
  <c r="CU10" i="184"/>
  <c r="CV10" i="184"/>
  <c r="CW10" i="184"/>
  <c r="CX10" i="184"/>
  <c r="CY10" i="184"/>
  <c r="CZ10" i="184"/>
  <c r="DA10" i="184"/>
  <c r="DB10" i="184"/>
  <c r="DC10" i="184"/>
  <c r="DD10" i="184"/>
  <c r="DE10" i="184"/>
  <c r="DF10" i="184"/>
  <c r="DG10" i="184"/>
  <c r="DH10" i="184"/>
  <c r="DI10" i="184"/>
  <c r="DJ10" i="184"/>
  <c r="DK10" i="184"/>
  <c r="DL10" i="184"/>
  <c r="DM10" i="184"/>
  <c r="DN10" i="184"/>
  <c r="DO10" i="184"/>
  <c r="DP10" i="184"/>
  <c r="DQ10" i="184"/>
  <c r="DR10" i="184"/>
  <c r="DS10" i="184"/>
  <c r="DT10" i="184"/>
  <c r="DU10" i="184"/>
  <c r="DV10" i="184"/>
  <c r="DW10" i="184"/>
  <c r="DX10" i="184"/>
  <c r="DY10" i="184"/>
  <c r="DZ10" i="184"/>
  <c r="EA10" i="184"/>
  <c r="EB10" i="184"/>
  <c r="EC10" i="184"/>
  <c r="ED10" i="184"/>
  <c r="EE10" i="184"/>
  <c r="EF10" i="184"/>
  <c r="EG10" i="184"/>
  <c r="EH10" i="184"/>
  <c r="EI10" i="184"/>
  <c r="EJ10" i="184"/>
  <c r="EK10" i="184"/>
  <c r="EL10" i="184"/>
  <c r="EM10" i="184"/>
  <c r="EN10" i="184"/>
  <c r="EO10" i="184"/>
  <c r="EP10" i="184"/>
  <c r="EQ10" i="184"/>
  <c r="ER10" i="184"/>
  <c r="ES10" i="184"/>
  <c r="ET10" i="184"/>
  <c r="EU10" i="184"/>
  <c r="EV10" i="184"/>
  <c r="EW10" i="184"/>
  <c r="EX10" i="184"/>
  <c r="EY10" i="184"/>
  <c r="EZ10" i="184"/>
  <c r="FA10" i="184"/>
  <c r="FB10" i="184"/>
  <c r="FC10" i="184"/>
  <c r="FD10" i="184"/>
  <c r="FE10" i="184"/>
  <c r="FF10" i="184"/>
  <c r="FG10" i="184"/>
  <c r="FH10" i="184"/>
  <c r="FI10" i="184"/>
  <c r="FJ10" i="184"/>
  <c r="FK10" i="184"/>
  <c r="FL10" i="184"/>
  <c r="FM10" i="184"/>
  <c r="FN10" i="184"/>
  <c r="FO10" i="184"/>
  <c r="FP10" i="184"/>
  <c r="FQ10" i="184"/>
  <c r="FR10" i="184"/>
  <c r="FS10" i="184"/>
  <c r="FT10" i="184"/>
  <c r="FU10" i="184"/>
  <c r="FV10" i="184"/>
  <c r="FW10" i="184"/>
  <c r="FX10" i="184"/>
  <c r="FY10" i="184"/>
  <c r="FZ10" i="184"/>
  <c r="GA10" i="184"/>
  <c r="GB10" i="184"/>
  <c r="GC10" i="184"/>
  <c r="GD10" i="184"/>
  <c r="GE10" i="184"/>
  <c r="GF10" i="184"/>
  <c r="GG10" i="184"/>
  <c r="GH10" i="184"/>
  <c r="GI10" i="184"/>
  <c r="GJ10" i="184"/>
  <c r="GK10" i="184"/>
  <c r="GL10" i="184"/>
  <c r="GM10" i="184"/>
  <c r="GN10" i="184"/>
  <c r="GO10" i="184"/>
  <c r="GP10" i="184"/>
  <c r="GQ10" i="184"/>
  <c r="GR10" i="184"/>
  <c r="GS10" i="184"/>
  <c r="GT10" i="184"/>
  <c r="GU10" i="184"/>
  <c r="GV10" i="184"/>
  <c r="GW10" i="184"/>
  <c r="GX10" i="184"/>
  <c r="GY10" i="184"/>
  <c r="GZ10" i="184"/>
  <c r="HA10" i="184"/>
  <c r="HB10" i="184"/>
  <c r="HC10" i="184"/>
  <c r="HD10" i="184"/>
  <c r="HE10" i="184"/>
  <c r="HF10" i="184"/>
  <c r="HG10" i="184"/>
  <c r="HH10" i="184"/>
  <c r="HI10" i="184"/>
  <c r="HJ10" i="184"/>
  <c r="HK10" i="184"/>
  <c r="HL10" i="184"/>
  <c r="HM10" i="184"/>
  <c r="HN10" i="184"/>
  <c r="HO10" i="184"/>
  <c r="HP10" i="184"/>
  <c r="HQ10" i="184"/>
  <c r="HR10" i="184"/>
  <c r="HS10" i="184"/>
  <c r="HT10" i="184"/>
  <c r="HU10" i="184"/>
  <c r="HV10" i="184"/>
  <c r="HW10" i="184"/>
  <c r="HX10" i="184"/>
  <c r="HY10" i="184"/>
  <c r="HZ10" i="184"/>
  <c r="IA10" i="184"/>
  <c r="IB10" i="184"/>
  <c r="IC10" i="184"/>
  <c r="IE10" i="184"/>
  <c r="IG10" i="184"/>
  <c r="II10" i="184"/>
  <c r="IJ10" i="184"/>
  <c r="IK10" i="184"/>
  <c r="IL10" i="184"/>
  <c r="IM10" i="184"/>
  <c r="IN10" i="184"/>
  <c r="IO10" i="184"/>
  <c r="IP10" i="184"/>
  <c r="IQ10" i="184"/>
  <c r="IR10" i="184"/>
  <c r="IS10" i="184"/>
  <c r="IT10" i="184"/>
  <c r="IU10" i="184"/>
  <c r="IV10" i="184"/>
  <c r="A9" i="184"/>
  <c r="B9" i="184"/>
  <c r="C9" i="184"/>
  <c r="D9" i="184"/>
  <c r="E9" i="184"/>
  <c r="F9" i="184"/>
  <c r="G9" i="184"/>
  <c r="H9" i="184"/>
  <c r="I9" i="184"/>
  <c r="J9" i="184"/>
  <c r="K9" i="184"/>
  <c r="L9" i="184"/>
  <c r="M9" i="184"/>
  <c r="N9" i="184"/>
  <c r="O9" i="184"/>
  <c r="P9" i="184"/>
  <c r="Q9" i="184"/>
  <c r="R9" i="184"/>
  <c r="S9" i="184"/>
  <c r="T9" i="184"/>
  <c r="U9" i="184"/>
  <c r="V9" i="184"/>
  <c r="W9" i="184"/>
  <c r="X9" i="184"/>
  <c r="Y9" i="184"/>
  <c r="Z9" i="184"/>
  <c r="AA9" i="184"/>
  <c r="AB9" i="184"/>
  <c r="AC9" i="184"/>
  <c r="AD9" i="184"/>
  <c r="AE9" i="184"/>
  <c r="AF9" i="184"/>
  <c r="AG9" i="184"/>
  <c r="AH9" i="184"/>
  <c r="AI9" i="184"/>
  <c r="AJ9" i="184"/>
  <c r="AK9" i="184"/>
  <c r="AL9" i="184"/>
  <c r="AM9" i="184"/>
  <c r="AN9" i="184"/>
  <c r="AO9" i="184"/>
  <c r="AP9" i="184"/>
  <c r="AQ9" i="184"/>
  <c r="AR9" i="184"/>
  <c r="AS9" i="184"/>
  <c r="AT9" i="184"/>
  <c r="AU9" i="184"/>
  <c r="AV9" i="184"/>
  <c r="AW9" i="184"/>
  <c r="AX9" i="184"/>
  <c r="AY9" i="184"/>
  <c r="AZ9" i="184"/>
  <c r="BA9" i="184"/>
  <c r="BB9" i="184"/>
  <c r="BC9" i="184"/>
  <c r="BD9" i="184"/>
  <c r="BE9" i="184"/>
  <c r="BF9" i="184"/>
  <c r="BG9" i="184"/>
  <c r="BH9" i="184"/>
  <c r="BI9" i="184"/>
  <c r="BJ9" i="184"/>
  <c r="BK9" i="184"/>
  <c r="BL9" i="184"/>
  <c r="BM9" i="184"/>
  <c r="BN9" i="184"/>
  <c r="BO9" i="184"/>
  <c r="BP9" i="184"/>
  <c r="BQ9" i="184"/>
  <c r="BR9" i="184"/>
  <c r="BS9" i="184"/>
  <c r="BT9" i="184"/>
  <c r="BU9" i="184"/>
  <c r="BV9" i="184"/>
  <c r="BW9" i="184"/>
  <c r="BX9" i="184"/>
  <c r="BY9" i="184"/>
  <c r="BZ9" i="184"/>
  <c r="CA9" i="184"/>
  <c r="CB9" i="184"/>
  <c r="CC9" i="184"/>
  <c r="CD9" i="184"/>
  <c r="CE9" i="184"/>
  <c r="CF9" i="184"/>
  <c r="CG9" i="184"/>
  <c r="CH9" i="184"/>
  <c r="CI9" i="184"/>
  <c r="CJ9" i="184"/>
  <c r="CK9" i="184"/>
  <c r="CL9" i="184"/>
  <c r="CM9" i="184"/>
  <c r="CN9" i="184"/>
  <c r="CO9" i="184"/>
  <c r="CP9" i="184"/>
  <c r="CQ9" i="184"/>
  <c r="CR9" i="184"/>
  <c r="CS9" i="184"/>
  <c r="CT9" i="184"/>
  <c r="CU9" i="184"/>
  <c r="CV9" i="184"/>
  <c r="CW9" i="184"/>
  <c r="CX9" i="184"/>
  <c r="CY9" i="184"/>
  <c r="CZ9" i="184"/>
  <c r="DA9" i="184"/>
  <c r="DB9" i="184"/>
  <c r="DC9" i="184"/>
  <c r="DD9" i="184"/>
  <c r="DE9" i="184"/>
  <c r="DF9" i="184"/>
  <c r="DG9" i="184"/>
  <c r="DH9" i="184"/>
  <c r="DI9" i="184"/>
  <c r="DJ9" i="184"/>
  <c r="DK9" i="184"/>
  <c r="DL9" i="184"/>
  <c r="DM9" i="184"/>
  <c r="DN9" i="184"/>
  <c r="DO9" i="184"/>
  <c r="DP9" i="184"/>
  <c r="DQ9" i="184"/>
  <c r="DR9" i="184"/>
  <c r="DS9" i="184"/>
  <c r="DT9" i="184"/>
  <c r="DU9" i="184"/>
  <c r="DV9" i="184"/>
  <c r="DW9" i="184"/>
  <c r="DX9" i="184"/>
  <c r="DY9" i="184"/>
  <c r="DZ9" i="184"/>
  <c r="EA9" i="184"/>
  <c r="EB9" i="184"/>
  <c r="EC9" i="184"/>
  <c r="ED9" i="184"/>
  <c r="EE9" i="184"/>
  <c r="EF9" i="184"/>
  <c r="EG9" i="184"/>
  <c r="EH9" i="184"/>
  <c r="EI9" i="184"/>
  <c r="EJ9" i="184"/>
  <c r="EK9" i="184"/>
  <c r="EL9" i="184"/>
  <c r="EM9" i="184"/>
  <c r="EN9" i="184"/>
  <c r="EO9" i="184"/>
  <c r="EP9" i="184"/>
  <c r="EQ9" i="184"/>
  <c r="ER9" i="184"/>
  <c r="ES9" i="184"/>
  <c r="ET9" i="184"/>
  <c r="EU9" i="184"/>
  <c r="EV9" i="184"/>
  <c r="EW9" i="184"/>
  <c r="EX9" i="184"/>
  <c r="EY9" i="184"/>
  <c r="EZ9" i="184"/>
  <c r="FA9" i="184"/>
  <c r="FB9" i="184"/>
  <c r="FC9" i="184"/>
  <c r="FD9" i="184"/>
  <c r="FE9" i="184"/>
  <c r="FF9" i="184"/>
  <c r="FG9" i="184"/>
  <c r="FH9" i="184"/>
  <c r="FI9" i="184"/>
  <c r="FJ9" i="184"/>
  <c r="FK9" i="184"/>
  <c r="FL9" i="184"/>
  <c r="FM9" i="184"/>
  <c r="FN9" i="184"/>
  <c r="FO9" i="184"/>
  <c r="FP9" i="184"/>
  <c r="FQ9" i="184"/>
  <c r="FR9" i="184"/>
  <c r="FS9" i="184"/>
  <c r="FT9" i="184"/>
  <c r="FU9" i="184"/>
  <c r="FV9" i="184"/>
  <c r="FW9" i="184"/>
  <c r="FX9" i="184"/>
  <c r="FY9" i="184"/>
  <c r="FZ9" i="184"/>
  <c r="GA9" i="184"/>
  <c r="GB9" i="184"/>
  <c r="GC9" i="184"/>
  <c r="GD9" i="184"/>
  <c r="GE9" i="184"/>
  <c r="GF9" i="184"/>
  <c r="GG9" i="184"/>
  <c r="GH9" i="184"/>
  <c r="GI9" i="184"/>
  <c r="GJ9" i="184"/>
  <c r="GK9" i="184"/>
  <c r="GL9" i="184"/>
  <c r="GM9" i="184"/>
  <c r="GN9" i="184"/>
  <c r="GO9" i="184"/>
  <c r="GP9" i="184"/>
  <c r="GQ9" i="184"/>
  <c r="GR9" i="184"/>
  <c r="GS9" i="184"/>
  <c r="GT9" i="184"/>
  <c r="GU9" i="184"/>
  <c r="GV9" i="184"/>
  <c r="GW9" i="184"/>
  <c r="GX9" i="184"/>
  <c r="GY9" i="184"/>
  <c r="GZ9" i="184"/>
  <c r="HA9" i="184"/>
  <c r="HB9" i="184"/>
  <c r="HC9" i="184"/>
  <c r="HD9" i="184"/>
  <c r="HE9" i="184"/>
  <c r="HF9" i="184"/>
  <c r="HG9" i="184"/>
  <c r="HH9" i="184"/>
  <c r="HI9" i="184"/>
  <c r="HJ9" i="184"/>
  <c r="HK9" i="184"/>
  <c r="HL9" i="184"/>
  <c r="HM9" i="184"/>
  <c r="HN9" i="184"/>
  <c r="HO9" i="184"/>
  <c r="HP9" i="184"/>
  <c r="HQ9" i="184"/>
  <c r="HR9" i="184"/>
  <c r="HS9" i="184"/>
  <c r="HT9" i="184"/>
  <c r="HU9" i="184"/>
  <c r="HV9" i="184"/>
  <c r="HW9" i="184"/>
  <c r="HX9" i="184"/>
  <c r="HY9" i="184"/>
  <c r="HZ9" i="184"/>
  <c r="IA9" i="184"/>
  <c r="IB9" i="184"/>
  <c r="IC9" i="184"/>
  <c r="ID9" i="184"/>
  <c r="IE9" i="184"/>
  <c r="IF9" i="184"/>
  <c r="IG9" i="184"/>
  <c r="IH9" i="184"/>
  <c r="II9" i="184"/>
  <c r="IJ9" i="184"/>
  <c r="IK9" i="184"/>
  <c r="IL9" i="184"/>
  <c r="IM9" i="184"/>
  <c r="IN9" i="184"/>
  <c r="IO9" i="184"/>
  <c r="IP9" i="184"/>
  <c r="IQ9" i="184"/>
  <c r="IR9" i="184"/>
  <c r="IS9" i="184"/>
  <c r="IT9" i="184"/>
  <c r="IU9" i="184"/>
  <c r="IV9" i="184"/>
  <c r="A8" i="184"/>
  <c r="B8" i="184"/>
  <c r="C8" i="184"/>
  <c r="D8" i="184"/>
  <c r="E8" i="184"/>
  <c r="F8" i="184"/>
  <c r="G8" i="184"/>
  <c r="H8" i="184"/>
  <c r="I8" i="184"/>
  <c r="J8" i="184"/>
  <c r="K8" i="184"/>
  <c r="L8" i="184"/>
  <c r="M8" i="184"/>
  <c r="N8" i="184"/>
  <c r="O8" i="184"/>
  <c r="P8" i="184"/>
  <c r="Q8" i="184"/>
  <c r="R8" i="184"/>
  <c r="S8" i="184"/>
  <c r="T8" i="184"/>
  <c r="U8" i="184"/>
  <c r="V8" i="184"/>
  <c r="W8" i="184"/>
  <c r="X8" i="184"/>
  <c r="Y8" i="184"/>
  <c r="Z8" i="184"/>
  <c r="AA8" i="184"/>
  <c r="AB8" i="184"/>
  <c r="AC8" i="184"/>
  <c r="AD8" i="184"/>
  <c r="AE8" i="184"/>
  <c r="AF8" i="184"/>
  <c r="AG8" i="184"/>
  <c r="AH8" i="184"/>
  <c r="AI8" i="184"/>
  <c r="AJ8" i="184"/>
  <c r="AK8" i="184"/>
  <c r="AL8" i="184"/>
  <c r="AM8" i="184"/>
  <c r="AN8" i="184"/>
  <c r="AO8" i="184"/>
  <c r="AP8" i="184"/>
  <c r="AQ8" i="184"/>
  <c r="AR8" i="184"/>
  <c r="AS8" i="184"/>
  <c r="AT8" i="184"/>
  <c r="AU8" i="184"/>
  <c r="AV8" i="184"/>
  <c r="AW8" i="184"/>
  <c r="AX8" i="184"/>
  <c r="AY8" i="184"/>
  <c r="AZ8" i="184"/>
  <c r="BA8" i="184"/>
  <c r="BB8" i="184"/>
  <c r="BC8" i="184"/>
  <c r="BD8" i="184"/>
  <c r="BE8" i="184"/>
  <c r="BF8" i="184"/>
  <c r="BG8" i="184"/>
  <c r="BH8" i="184"/>
  <c r="BI8" i="184"/>
  <c r="BJ8" i="184"/>
  <c r="BK8" i="184"/>
  <c r="BL8" i="184"/>
  <c r="BM8" i="184"/>
  <c r="BN8" i="184"/>
  <c r="BO8" i="184"/>
  <c r="BP8" i="184"/>
  <c r="BQ8" i="184"/>
  <c r="BR8" i="184"/>
  <c r="BS8" i="184"/>
  <c r="BT8" i="184"/>
  <c r="BU8" i="184"/>
  <c r="BV8" i="184"/>
  <c r="BW8" i="184"/>
  <c r="BX8" i="184"/>
  <c r="BY8" i="184"/>
  <c r="BZ8" i="184"/>
  <c r="CA8" i="184"/>
  <c r="CB8" i="184"/>
  <c r="CC8" i="184"/>
  <c r="CD8" i="184"/>
  <c r="CE8" i="184"/>
  <c r="CF8" i="184"/>
  <c r="CG8" i="184"/>
  <c r="CH8" i="184"/>
  <c r="CI8" i="184"/>
  <c r="CJ8" i="184"/>
  <c r="CK8" i="184"/>
  <c r="CL8" i="184"/>
  <c r="CM8" i="184"/>
  <c r="CN8" i="184"/>
  <c r="CO8" i="184"/>
  <c r="CP8" i="184"/>
  <c r="CQ8" i="184"/>
  <c r="CR8" i="184"/>
  <c r="CS8" i="184"/>
  <c r="CT8" i="184"/>
  <c r="CU8" i="184"/>
  <c r="CV8" i="184"/>
  <c r="CW8" i="184"/>
  <c r="CX8" i="184"/>
  <c r="CY8" i="184"/>
  <c r="CZ8" i="184"/>
  <c r="DA8" i="184"/>
  <c r="DB8" i="184"/>
  <c r="DC8" i="184"/>
  <c r="DD8" i="184"/>
  <c r="DE8" i="184"/>
  <c r="DF8" i="184"/>
  <c r="DG8" i="184"/>
  <c r="DH8" i="184"/>
  <c r="DI8" i="184"/>
  <c r="DJ8" i="184"/>
  <c r="DK8" i="184"/>
  <c r="DL8" i="184"/>
  <c r="DM8" i="184"/>
  <c r="DN8" i="184"/>
  <c r="DO8" i="184"/>
  <c r="DP8" i="184"/>
  <c r="DQ8" i="184"/>
  <c r="DR8" i="184"/>
  <c r="DS8" i="184"/>
  <c r="DT8" i="184"/>
  <c r="DU8" i="184"/>
  <c r="DV8" i="184"/>
  <c r="DW8" i="184"/>
  <c r="DX8" i="184"/>
  <c r="DY8" i="184"/>
  <c r="DZ8" i="184"/>
  <c r="EA8" i="184"/>
  <c r="EB8" i="184"/>
  <c r="EC8" i="184"/>
  <c r="ED8" i="184"/>
  <c r="EE8" i="184"/>
  <c r="EF8" i="184"/>
  <c r="EG8" i="184"/>
  <c r="EH8" i="184"/>
  <c r="EI8" i="184"/>
  <c r="EJ8" i="184"/>
  <c r="EK8" i="184"/>
  <c r="EL8" i="184"/>
  <c r="EM8" i="184"/>
  <c r="EN8" i="184"/>
  <c r="EO8" i="184"/>
  <c r="EP8" i="184"/>
  <c r="EQ8" i="184"/>
  <c r="ER8" i="184"/>
  <c r="ES8" i="184"/>
  <c r="ET8" i="184"/>
  <c r="EU8" i="184"/>
  <c r="EV8" i="184"/>
  <c r="EW8" i="184"/>
  <c r="EX8" i="184"/>
  <c r="EY8" i="184"/>
  <c r="EZ8" i="184"/>
  <c r="FA8" i="184"/>
  <c r="FB8" i="184"/>
  <c r="FC8" i="184"/>
  <c r="FD8" i="184"/>
  <c r="FE8" i="184"/>
  <c r="FF8" i="184"/>
  <c r="FG8" i="184"/>
  <c r="FH8" i="184"/>
  <c r="FI8" i="184"/>
  <c r="FJ8" i="184"/>
  <c r="FK8" i="184"/>
  <c r="FL8" i="184"/>
  <c r="FM8" i="184"/>
  <c r="FN8" i="184"/>
  <c r="FO8" i="184"/>
  <c r="FP8" i="184"/>
  <c r="FQ8" i="184"/>
  <c r="FR8" i="184"/>
  <c r="FS8" i="184"/>
  <c r="FT8" i="184"/>
  <c r="FU8" i="184"/>
  <c r="FV8" i="184"/>
  <c r="FW8" i="184"/>
  <c r="FX8" i="184"/>
  <c r="FY8" i="184"/>
  <c r="FZ8" i="184"/>
  <c r="GA8" i="184"/>
  <c r="GB8" i="184"/>
  <c r="GC8" i="184"/>
  <c r="GD8" i="184"/>
  <c r="GE8" i="184"/>
  <c r="GF8" i="184"/>
  <c r="GG8" i="184"/>
  <c r="GH8" i="184"/>
  <c r="GI8" i="184"/>
  <c r="GJ8" i="184"/>
  <c r="GK8" i="184"/>
  <c r="GL8" i="184"/>
  <c r="GM8" i="184"/>
  <c r="GN8" i="184"/>
  <c r="GO8" i="184"/>
  <c r="GP8" i="184"/>
  <c r="GQ8" i="184"/>
  <c r="GR8" i="184"/>
  <c r="GS8" i="184"/>
  <c r="GT8" i="184"/>
  <c r="GU8" i="184"/>
  <c r="GV8" i="184"/>
  <c r="GW8" i="184"/>
  <c r="GX8" i="184"/>
  <c r="GY8" i="184"/>
  <c r="GZ8" i="184"/>
  <c r="HA8" i="184"/>
  <c r="HB8" i="184"/>
  <c r="HC8" i="184"/>
  <c r="HD8" i="184"/>
  <c r="HE8" i="184"/>
  <c r="HF8" i="184"/>
  <c r="HG8" i="184"/>
  <c r="HH8" i="184"/>
  <c r="HI8" i="184"/>
  <c r="HJ8" i="184"/>
  <c r="HK8" i="184"/>
  <c r="HL8" i="184"/>
  <c r="HM8" i="184"/>
  <c r="HN8" i="184"/>
  <c r="HO8" i="184"/>
  <c r="HP8" i="184"/>
  <c r="HQ8" i="184"/>
  <c r="HR8" i="184"/>
  <c r="HS8" i="184"/>
  <c r="HT8" i="184"/>
  <c r="HU8" i="184"/>
  <c r="HV8" i="184"/>
  <c r="HW8" i="184"/>
  <c r="HX8" i="184"/>
  <c r="HY8" i="184"/>
  <c r="HZ8" i="184"/>
  <c r="IA8" i="184"/>
  <c r="IB8" i="184"/>
  <c r="IC8" i="184"/>
  <c r="ID8" i="184"/>
  <c r="IE8" i="184"/>
  <c r="IF8" i="184"/>
  <c r="IG8" i="184"/>
  <c r="IH8" i="184"/>
  <c r="II8" i="184"/>
  <c r="IJ8" i="184"/>
  <c r="IK8" i="184"/>
  <c r="IL8" i="184"/>
  <c r="IM8" i="184"/>
  <c r="IN8" i="184"/>
  <c r="IO8" i="184"/>
  <c r="IP8" i="184"/>
  <c r="IQ8" i="184"/>
  <c r="IR8" i="184"/>
  <c r="IS8" i="184"/>
  <c r="IT8" i="184"/>
  <c r="IU8" i="184"/>
  <c r="IV8" i="184"/>
  <c r="A7" i="184"/>
  <c r="B7" i="184"/>
  <c r="C7" i="184"/>
  <c r="D7" i="184"/>
  <c r="E7" i="184"/>
  <c r="F7" i="184"/>
  <c r="G7" i="184"/>
  <c r="H7" i="184"/>
  <c r="I7" i="184"/>
  <c r="J7" i="184"/>
  <c r="K7" i="184"/>
  <c r="L7" i="184"/>
  <c r="M7" i="184"/>
  <c r="N7" i="184"/>
  <c r="O7" i="184"/>
  <c r="P7" i="184"/>
  <c r="Q7" i="184"/>
  <c r="R7" i="184"/>
  <c r="S7" i="184"/>
  <c r="T7" i="184"/>
  <c r="U7" i="184"/>
  <c r="V7" i="184"/>
  <c r="W7" i="184"/>
  <c r="X7" i="184"/>
  <c r="Y7" i="184"/>
  <c r="Z7" i="184"/>
  <c r="AA7" i="184"/>
  <c r="AB7" i="184"/>
  <c r="AC7" i="184"/>
  <c r="AD7" i="184"/>
  <c r="AE7" i="184"/>
  <c r="AF7" i="184"/>
  <c r="AG7" i="184"/>
  <c r="AH7" i="184"/>
  <c r="AI7" i="184"/>
  <c r="AJ7" i="184"/>
  <c r="AK7" i="184"/>
  <c r="AL7" i="184"/>
  <c r="AM7" i="184"/>
  <c r="AN7" i="184"/>
  <c r="AO7" i="184"/>
  <c r="AP7" i="184"/>
  <c r="AQ7" i="184"/>
  <c r="AR7" i="184"/>
  <c r="AS7" i="184"/>
  <c r="AT7" i="184"/>
  <c r="AU7" i="184"/>
  <c r="AV7" i="184"/>
  <c r="AW7" i="184"/>
  <c r="AX7" i="184"/>
  <c r="AY7" i="184"/>
  <c r="AZ7" i="184"/>
  <c r="BA7" i="184"/>
  <c r="BB7" i="184"/>
  <c r="BC7" i="184"/>
  <c r="BD7" i="184"/>
  <c r="BE7" i="184"/>
  <c r="BF7" i="184"/>
  <c r="BG7" i="184"/>
  <c r="BH7" i="184"/>
  <c r="BI7" i="184"/>
  <c r="BJ7" i="184"/>
  <c r="BK7" i="184"/>
  <c r="BL7" i="184"/>
  <c r="BM7" i="184"/>
  <c r="BN7" i="184"/>
  <c r="BO7" i="184"/>
  <c r="BP7" i="184"/>
  <c r="BQ7" i="184"/>
  <c r="BR7" i="184"/>
  <c r="BS7" i="184"/>
  <c r="BT7" i="184"/>
  <c r="BU7" i="184"/>
  <c r="BV7" i="184"/>
  <c r="BW7" i="184"/>
  <c r="BX7" i="184"/>
  <c r="BY7" i="184"/>
  <c r="BZ7" i="184"/>
  <c r="CA7" i="184"/>
  <c r="CB7" i="184"/>
  <c r="CC7" i="184"/>
  <c r="CD7" i="184"/>
  <c r="CE7" i="184"/>
  <c r="CF7" i="184"/>
  <c r="CG7" i="184"/>
  <c r="CH7" i="184"/>
  <c r="CI7" i="184"/>
  <c r="CJ7" i="184"/>
  <c r="CK7" i="184"/>
  <c r="CL7" i="184"/>
  <c r="CM7" i="184"/>
  <c r="CN7" i="184"/>
  <c r="CO7" i="184"/>
  <c r="CP7" i="184"/>
  <c r="CQ7" i="184"/>
  <c r="CR7" i="184"/>
  <c r="CS7" i="184"/>
  <c r="CT7" i="184"/>
  <c r="CU7" i="184"/>
  <c r="CV7" i="184"/>
  <c r="CW7" i="184"/>
  <c r="CX7" i="184"/>
  <c r="CY7" i="184"/>
  <c r="CZ7" i="184"/>
  <c r="DA7" i="184"/>
  <c r="DB7" i="184"/>
  <c r="DC7" i="184"/>
  <c r="DD7" i="184"/>
  <c r="DE7" i="184"/>
  <c r="DF7" i="184"/>
  <c r="DG7" i="184"/>
  <c r="DH7" i="184"/>
  <c r="DI7" i="184"/>
  <c r="DJ7" i="184"/>
  <c r="DK7" i="184"/>
  <c r="DL7" i="184"/>
  <c r="DM7" i="184"/>
  <c r="DN7" i="184"/>
  <c r="DO7" i="184"/>
  <c r="DP7" i="184"/>
  <c r="DQ7" i="184"/>
  <c r="DR7" i="184"/>
  <c r="DS7" i="184"/>
  <c r="DT7" i="184"/>
  <c r="DU7" i="184"/>
  <c r="DV7" i="184"/>
  <c r="DW7" i="184"/>
  <c r="DX7" i="184"/>
  <c r="DY7" i="184"/>
  <c r="DZ7" i="184"/>
  <c r="EA7" i="184"/>
  <c r="EB7" i="184"/>
  <c r="EC7" i="184"/>
  <c r="ED7" i="184"/>
  <c r="EE7" i="184"/>
  <c r="EF7" i="184"/>
  <c r="EG7" i="184"/>
  <c r="EH7" i="184"/>
  <c r="EI7" i="184"/>
  <c r="EJ7" i="184"/>
  <c r="EK7" i="184"/>
  <c r="EL7" i="184"/>
  <c r="EM7" i="184"/>
  <c r="EN7" i="184"/>
  <c r="EO7" i="184"/>
  <c r="EP7" i="184"/>
  <c r="EQ7" i="184"/>
  <c r="ER7" i="184"/>
  <c r="ES7" i="184"/>
  <c r="ET7" i="184"/>
  <c r="EU7" i="184"/>
  <c r="EV7" i="184"/>
  <c r="EW7" i="184"/>
  <c r="EX7" i="184"/>
  <c r="EY7" i="184"/>
  <c r="EZ7" i="184"/>
  <c r="FA7" i="184"/>
  <c r="FB7" i="184"/>
  <c r="FC7" i="184"/>
  <c r="FD7" i="184"/>
  <c r="FE7" i="184"/>
  <c r="FF7" i="184"/>
  <c r="FG7" i="184"/>
  <c r="FH7" i="184"/>
  <c r="FI7" i="184"/>
  <c r="FJ7" i="184"/>
  <c r="FK7" i="184"/>
  <c r="FL7" i="184"/>
  <c r="FM7" i="184"/>
  <c r="FN7" i="184"/>
  <c r="FO7" i="184"/>
  <c r="FP7" i="184"/>
  <c r="FQ7" i="184"/>
  <c r="FR7" i="184"/>
  <c r="FS7" i="184"/>
  <c r="FT7" i="184"/>
  <c r="FU7" i="184"/>
  <c r="FV7" i="184"/>
  <c r="FW7" i="184"/>
  <c r="FX7" i="184"/>
  <c r="FY7" i="184"/>
  <c r="GA7" i="184"/>
  <c r="GB7" i="184"/>
  <c r="GC7" i="184"/>
  <c r="GE7" i="184"/>
  <c r="GF7" i="184"/>
  <c r="GG7" i="184"/>
  <c r="GH7" i="184"/>
  <c r="GI7" i="184"/>
  <c r="GJ7" i="184"/>
  <c r="GK7" i="184"/>
  <c r="GL7" i="184"/>
  <c r="GM7" i="184"/>
  <c r="GN7" i="184"/>
  <c r="GO7" i="184"/>
  <c r="GP7" i="184"/>
  <c r="GQ7" i="184"/>
  <c r="GR7" i="184"/>
  <c r="GS7" i="184"/>
  <c r="GT7" i="184"/>
  <c r="GU7" i="184"/>
  <c r="GV7" i="184"/>
  <c r="GW7" i="184"/>
  <c r="GX7" i="184"/>
  <c r="GY7" i="184"/>
  <c r="GZ7" i="184"/>
  <c r="HA7" i="184"/>
  <c r="HB7" i="184"/>
  <c r="HC7" i="184"/>
  <c r="HD7" i="184"/>
  <c r="HE7" i="184"/>
  <c r="HF7" i="184"/>
  <c r="HG7" i="184"/>
  <c r="HH7" i="184"/>
  <c r="HI7" i="184"/>
  <c r="HJ7" i="184"/>
  <c r="HK7" i="184"/>
  <c r="HL7" i="184"/>
  <c r="HM7" i="184"/>
  <c r="HN7" i="184"/>
  <c r="HO7" i="184"/>
  <c r="HP7" i="184"/>
  <c r="HQ7" i="184"/>
  <c r="HR7" i="184"/>
  <c r="HS7" i="184"/>
  <c r="HT7" i="184"/>
  <c r="HU7" i="184"/>
  <c r="HV7" i="184"/>
  <c r="HW7" i="184"/>
  <c r="HX7" i="184"/>
  <c r="HY7" i="184"/>
  <c r="HZ7" i="184"/>
  <c r="IA7" i="184"/>
  <c r="IB7" i="184"/>
  <c r="IC7" i="184"/>
  <c r="ID7" i="184"/>
  <c r="IE7" i="184"/>
  <c r="IF7" i="184"/>
  <c r="IG7" i="184"/>
  <c r="IH7" i="184"/>
  <c r="II7" i="184"/>
  <c r="IJ7" i="184"/>
  <c r="IK7" i="184"/>
  <c r="IL7" i="184"/>
  <c r="IM7" i="184"/>
  <c r="IN7" i="184"/>
  <c r="IO7" i="184"/>
  <c r="IP7" i="184"/>
  <c r="IQ7" i="184"/>
  <c r="IR7" i="184"/>
  <c r="IS7" i="184"/>
  <c r="IT7" i="184"/>
  <c r="IU7" i="184"/>
  <c r="IV7" i="184"/>
  <c r="A6" i="184"/>
  <c r="B6" i="184"/>
  <c r="C6" i="184"/>
  <c r="D6" i="184"/>
  <c r="E6" i="184"/>
  <c r="F6" i="184"/>
  <c r="G6" i="184"/>
  <c r="H6" i="184"/>
  <c r="I6" i="184"/>
  <c r="J6" i="184"/>
  <c r="K6" i="184"/>
  <c r="L6" i="184"/>
  <c r="M6" i="184"/>
  <c r="N6" i="184"/>
  <c r="O6" i="184"/>
  <c r="P6" i="184"/>
  <c r="Q6" i="184"/>
  <c r="R6" i="184"/>
  <c r="S6" i="184"/>
  <c r="T6" i="184"/>
  <c r="U6" i="184"/>
  <c r="V6" i="184"/>
  <c r="W6" i="184"/>
  <c r="X6" i="184"/>
  <c r="Y6" i="184"/>
  <c r="Z6" i="184"/>
  <c r="AA6" i="184"/>
  <c r="AB6" i="184"/>
  <c r="AC6" i="184"/>
  <c r="AD6" i="184"/>
  <c r="AE6" i="184"/>
  <c r="AF6" i="184"/>
  <c r="AG6" i="184"/>
  <c r="AH6" i="184"/>
  <c r="AI6" i="184"/>
  <c r="AJ6" i="184"/>
  <c r="AK6" i="184"/>
  <c r="AL6" i="184"/>
  <c r="AM6" i="184"/>
  <c r="AN6" i="184"/>
  <c r="AO6" i="184"/>
  <c r="AP6" i="184"/>
  <c r="AQ6" i="184"/>
  <c r="AR6" i="184"/>
  <c r="AS6" i="184"/>
  <c r="AT6" i="184"/>
  <c r="AU6" i="184"/>
  <c r="AV6" i="184"/>
  <c r="AW6" i="184"/>
  <c r="AX6" i="184"/>
  <c r="AY6" i="184"/>
  <c r="AZ6" i="184"/>
  <c r="BA6" i="184"/>
  <c r="BB6" i="184"/>
  <c r="BC6" i="184"/>
  <c r="BD6" i="184"/>
  <c r="BE6" i="184"/>
  <c r="BF6" i="184"/>
  <c r="BG6" i="184"/>
  <c r="BH6" i="184"/>
  <c r="BI6" i="184"/>
  <c r="BJ6" i="184"/>
  <c r="BK6" i="184"/>
  <c r="BL6" i="184"/>
  <c r="BM6" i="184"/>
  <c r="BN6" i="184"/>
  <c r="BO6" i="184"/>
  <c r="BP6" i="184"/>
  <c r="BQ6" i="184"/>
  <c r="BR6" i="184"/>
  <c r="BS6" i="184"/>
  <c r="BT6" i="184"/>
  <c r="BU6" i="184"/>
  <c r="BV6" i="184"/>
  <c r="BW6" i="184"/>
  <c r="BX6" i="184"/>
  <c r="BY6" i="184"/>
  <c r="BZ6" i="184"/>
  <c r="CA6" i="184"/>
  <c r="CB6" i="184"/>
  <c r="CC6" i="184"/>
  <c r="CD6" i="184"/>
  <c r="CE6" i="184"/>
  <c r="CF6" i="184"/>
  <c r="CG6" i="184"/>
  <c r="CH6" i="184"/>
  <c r="CI6" i="184"/>
  <c r="CJ6" i="184"/>
  <c r="CK6" i="184"/>
  <c r="CL6" i="184"/>
  <c r="CM6" i="184"/>
  <c r="CN6" i="184"/>
  <c r="CO6" i="184"/>
  <c r="CP6" i="184"/>
  <c r="CQ6" i="184"/>
  <c r="CR6" i="184"/>
  <c r="CS6" i="184"/>
  <c r="CT6" i="184"/>
  <c r="CU6" i="184"/>
  <c r="CV6" i="184"/>
  <c r="CW6" i="184"/>
  <c r="CX6" i="184"/>
  <c r="CY6" i="184"/>
  <c r="CZ6" i="184"/>
  <c r="DA6" i="184"/>
  <c r="DB6" i="184"/>
  <c r="DC6" i="184"/>
  <c r="DD6" i="184"/>
  <c r="DE6" i="184"/>
  <c r="DF6" i="184"/>
  <c r="DG6" i="184"/>
  <c r="DH6" i="184"/>
  <c r="DI6" i="184"/>
  <c r="DJ6" i="184"/>
  <c r="DK6" i="184"/>
  <c r="DL6" i="184"/>
  <c r="DM6" i="184"/>
  <c r="DN6" i="184"/>
  <c r="DO6" i="184"/>
  <c r="DP6" i="184"/>
  <c r="DQ6" i="184"/>
  <c r="DR6" i="184"/>
  <c r="DS6" i="184"/>
  <c r="DT6" i="184"/>
  <c r="DU6" i="184"/>
  <c r="DV6" i="184"/>
  <c r="DW6" i="184"/>
  <c r="DX6" i="184"/>
  <c r="DY6" i="184"/>
  <c r="DZ6" i="184"/>
  <c r="EA6" i="184"/>
  <c r="EB6" i="184"/>
  <c r="EC6" i="184"/>
  <c r="ED6" i="184"/>
  <c r="EE6" i="184"/>
  <c r="EF6" i="184"/>
  <c r="EG6" i="184"/>
  <c r="EH6" i="184"/>
  <c r="EI6" i="184"/>
  <c r="EJ6" i="184"/>
  <c r="EK6" i="184"/>
  <c r="EL6" i="184"/>
  <c r="EM6" i="184"/>
  <c r="EN6" i="184"/>
  <c r="EO6" i="184"/>
  <c r="EP6" i="184"/>
  <c r="EQ6" i="184"/>
  <c r="ER6" i="184"/>
  <c r="ES6" i="184"/>
  <c r="ET6" i="184"/>
  <c r="EU6" i="184"/>
  <c r="EV6" i="184"/>
  <c r="EW6" i="184"/>
  <c r="EX6" i="184"/>
  <c r="EY6" i="184"/>
  <c r="EZ6" i="184"/>
  <c r="FA6" i="184"/>
  <c r="FB6" i="184"/>
  <c r="FC6" i="184"/>
  <c r="FD6" i="184"/>
  <c r="FE6" i="184"/>
  <c r="FF6" i="184"/>
  <c r="FG6" i="184"/>
  <c r="FH6" i="184"/>
  <c r="FI6" i="184"/>
  <c r="FJ6" i="184"/>
  <c r="FK6" i="184"/>
  <c r="FL6" i="184"/>
  <c r="FM6" i="184"/>
  <c r="FN6" i="184"/>
  <c r="FO6" i="184"/>
  <c r="FP6" i="184"/>
  <c r="FQ6" i="184"/>
  <c r="FR6" i="184"/>
  <c r="FS6" i="184"/>
  <c r="FT6" i="184"/>
  <c r="FU6" i="184"/>
  <c r="FV6" i="184"/>
  <c r="FW6" i="184"/>
  <c r="FX6" i="184"/>
  <c r="FY6" i="184"/>
  <c r="FZ6" i="184"/>
  <c r="GA6" i="184"/>
  <c r="GB6" i="184"/>
  <c r="GC6" i="184"/>
  <c r="GD6" i="184"/>
  <c r="GE6" i="184"/>
  <c r="GF6" i="184"/>
  <c r="GG6" i="184"/>
  <c r="GH6" i="184"/>
  <c r="GI6" i="184"/>
  <c r="GJ6" i="184"/>
  <c r="GK6" i="184"/>
  <c r="GL6" i="184"/>
  <c r="GM6" i="184"/>
  <c r="GN6" i="184"/>
  <c r="GO6" i="184"/>
  <c r="GP6" i="184"/>
  <c r="GQ6" i="184"/>
  <c r="GR6" i="184"/>
  <c r="GS6" i="184"/>
  <c r="GT6" i="184"/>
  <c r="GU6" i="184"/>
  <c r="GV6" i="184"/>
  <c r="GW6" i="184"/>
  <c r="GX6" i="184"/>
  <c r="GY6" i="184"/>
  <c r="GZ6" i="184"/>
  <c r="HA6" i="184"/>
  <c r="HB6" i="184"/>
  <c r="HC6" i="184"/>
  <c r="HD6" i="184"/>
  <c r="HE6" i="184"/>
  <c r="HF6" i="184"/>
  <c r="HG6" i="184"/>
  <c r="HH6" i="184"/>
  <c r="HI6" i="184"/>
  <c r="HJ6" i="184"/>
  <c r="HK6" i="184"/>
  <c r="HL6" i="184"/>
  <c r="HM6" i="184"/>
  <c r="HN6" i="184"/>
  <c r="HO6" i="184"/>
  <c r="HP6" i="184"/>
  <c r="HQ6" i="184"/>
  <c r="HR6" i="184"/>
  <c r="HS6" i="184"/>
  <c r="HT6" i="184"/>
  <c r="HU6" i="184"/>
  <c r="HV6" i="184"/>
  <c r="HW6" i="184"/>
  <c r="HX6" i="184"/>
  <c r="HY6" i="184"/>
  <c r="HZ6" i="184"/>
  <c r="IA6" i="184"/>
  <c r="IB6" i="184"/>
  <c r="IC6" i="184"/>
  <c r="ID6" i="184"/>
  <c r="IE6" i="184"/>
  <c r="IF6" i="184"/>
  <c r="IG6" i="184"/>
  <c r="IH6" i="184"/>
  <c r="II6" i="184"/>
  <c r="IJ6" i="184"/>
  <c r="IK6" i="184"/>
  <c r="IL6" i="184"/>
  <c r="IM6" i="184"/>
  <c r="IN6" i="184"/>
  <c r="IO6" i="184"/>
  <c r="IP6" i="184"/>
  <c r="IQ6" i="184"/>
  <c r="IR6" i="184"/>
  <c r="IS6" i="184"/>
  <c r="IT6" i="184"/>
  <c r="IU6" i="184"/>
  <c r="IV6" i="184"/>
  <c r="A5" i="184"/>
  <c r="B5" i="184"/>
  <c r="C5" i="184"/>
  <c r="D5" i="184"/>
  <c r="E5" i="184"/>
  <c r="F5" i="184"/>
  <c r="G5" i="184"/>
  <c r="H5" i="184"/>
  <c r="I5" i="184"/>
  <c r="J5" i="184"/>
  <c r="K5" i="184"/>
  <c r="L5" i="184"/>
  <c r="M5" i="184"/>
  <c r="N5" i="184"/>
  <c r="O5" i="184"/>
  <c r="P5" i="184"/>
  <c r="Q5" i="184"/>
  <c r="R5" i="184"/>
  <c r="S5" i="184"/>
  <c r="T5" i="184"/>
  <c r="U5" i="184"/>
  <c r="V5" i="184"/>
  <c r="W5" i="184"/>
  <c r="X5" i="184"/>
  <c r="Y5" i="184"/>
  <c r="Z5" i="184"/>
  <c r="AA5" i="184"/>
  <c r="AB5" i="184"/>
  <c r="AC5" i="184"/>
  <c r="AD5" i="184"/>
  <c r="AE5" i="184"/>
  <c r="AF5" i="184"/>
  <c r="AG5" i="184"/>
  <c r="AH5" i="184"/>
  <c r="AI5" i="184"/>
  <c r="AJ5" i="184"/>
  <c r="AK5" i="184"/>
  <c r="AL5" i="184"/>
  <c r="AM5" i="184"/>
  <c r="AN5" i="184"/>
  <c r="AO5" i="184"/>
  <c r="AP5" i="184"/>
  <c r="AQ5" i="184"/>
  <c r="AR5" i="184"/>
  <c r="AS5" i="184"/>
  <c r="AT5" i="184"/>
  <c r="AU5" i="184"/>
  <c r="AV5" i="184"/>
  <c r="AW5" i="184"/>
  <c r="AX5" i="184"/>
  <c r="AY5" i="184"/>
  <c r="AZ5" i="184"/>
  <c r="BA5" i="184"/>
  <c r="BB5" i="184"/>
  <c r="BC5" i="184"/>
  <c r="BD5" i="184"/>
  <c r="BE5" i="184"/>
  <c r="BF5" i="184"/>
  <c r="BG5" i="184"/>
  <c r="BH5" i="184"/>
  <c r="BI5" i="184"/>
  <c r="BJ5" i="184"/>
  <c r="BK5" i="184"/>
  <c r="BL5" i="184"/>
  <c r="BM5" i="184"/>
  <c r="BN5" i="184"/>
  <c r="BO5" i="184"/>
  <c r="BP5" i="184"/>
  <c r="BQ5" i="184"/>
  <c r="BR5" i="184"/>
  <c r="BS5" i="184"/>
  <c r="BT5" i="184"/>
  <c r="BU5" i="184"/>
  <c r="BV5" i="184"/>
  <c r="BW5" i="184"/>
  <c r="BX5" i="184"/>
  <c r="BY5" i="184"/>
  <c r="BZ5" i="184"/>
  <c r="CA5" i="184"/>
  <c r="CB5" i="184"/>
  <c r="CC5" i="184"/>
  <c r="CD5" i="184"/>
  <c r="CE5" i="184"/>
  <c r="CF5" i="184"/>
  <c r="CG5" i="184"/>
  <c r="CH5" i="184"/>
  <c r="CI5" i="184"/>
  <c r="CJ5" i="184"/>
  <c r="CK5" i="184"/>
  <c r="CL5" i="184"/>
  <c r="CM5" i="184"/>
  <c r="CN5" i="184"/>
  <c r="CO5" i="184"/>
  <c r="CP5" i="184"/>
  <c r="CQ5" i="184"/>
  <c r="CR5" i="184"/>
  <c r="CS5" i="184"/>
  <c r="CT5" i="184"/>
  <c r="CU5" i="184"/>
  <c r="CV5" i="184"/>
  <c r="CW5" i="184"/>
  <c r="CX5" i="184"/>
  <c r="CY5" i="184"/>
  <c r="CZ5" i="184"/>
  <c r="DA5" i="184"/>
  <c r="DB5" i="184"/>
  <c r="DC5" i="184"/>
  <c r="DD5" i="184"/>
  <c r="DE5" i="184"/>
  <c r="DF5" i="184"/>
  <c r="DG5" i="184"/>
  <c r="DH5" i="184"/>
  <c r="DI5" i="184"/>
  <c r="DJ5" i="184"/>
  <c r="DK5" i="184"/>
  <c r="DL5" i="184"/>
  <c r="DM5" i="184"/>
  <c r="DN5" i="184"/>
  <c r="DO5" i="184"/>
  <c r="DP5" i="184"/>
  <c r="DQ5" i="184"/>
  <c r="DR5" i="184"/>
  <c r="DS5" i="184"/>
  <c r="DT5" i="184"/>
  <c r="DU5" i="184"/>
  <c r="DV5" i="184"/>
  <c r="DW5" i="184"/>
  <c r="DX5" i="184"/>
  <c r="DY5" i="184"/>
  <c r="DZ5" i="184"/>
  <c r="EA5" i="184"/>
  <c r="EB5" i="184"/>
  <c r="EC5" i="184"/>
  <c r="ED5" i="184"/>
  <c r="EE5" i="184"/>
  <c r="EF5" i="184"/>
  <c r="EG5" i="184"/>
  <c r="EH5" i="184"/>
  <c r="EI5" i="184"/>
  <c r="EJ5" i="184"/>
  <c r="EK5" i="184"/>
  <c r="EL5" i="184"/>
  <c r="EM5" i="184"/>
  <c r="EN5" i="184"/>
  <c r="EO5" i="184"/>
  <c r="EP5" i="184"/>
  <c r="EQ5" i="184"/>
  <c r="ER5" i="184"/>
  <c r="ES5" i="184"/>
  <c r="ET5" i="184"/>
  <c r="EU5" i="184"/>
  <c r="EV5" i="184"/>
  <c r="EW5" i="184"/>
  <c r="EX5" i="184"/>
  <c r="EY5" i="184"/>
  <c r="EZ5" i="184"/>
  <c r="FA5" i="184"/>
  <c r="FB5" i="184"/>
  <c r="FC5" i="184"/>
  <c r="FD5" i="184"/>
  <c r="FE5" i="184"/>
  <c r="FF5" i="184"/>
  <c r="FG5" i="184"/>
  <c r="FH5" i="184"/>
  <c r="FI5" i="184"/>
  <c r="FJ5" i="184"/>
  <c r="FK5" i="184"/>
  <c r="FL5" i="184"/>
  <c r="FM5" i="184"/>
  <c r="FN5" i="184"/>
  <c r="FO5" i="184"/>
  <c r="FP5" i="184"/>
  <c r="FQ5" i="184"/>
  <c r="FR5" i="184"/>
  <c r="FS5" i="184"/>
  <c r="FT5" i="184"/>
  <c r="FU5" i="184"/>
  <c r="FV5" i="184"/>
  <c r="FW5" i="184"/>
  <c r="FX5" i="184"/>
  <c r="FY5" i="184"/>
  <c r="FZ5" i="184"/>
  <c r="GA5" i="184"/>
  <c r="GB5" i="184"/>
  <c r="GC5" i="184"/>
  <c r="GD5" i="184"/>
  <c r="GE5" i="184"/>
  <c r="GF5" i="184"/>
  <c r="GG5" i="184"/>
  <c r="GH5" i="184"/>
  <c r="GI5" i="184"/>
  <c r="GJ5" i="184"/>
  <c r="GK5" i="184"/>
  <c r="GL5" i="184"/>
  <c r="GM5" i="184"/>
  <c r="GN5" i="184"/>
  <c r="GO5" i="184"/>
  <c r="GP5" i="184"/>
  <c r="GQ5" i="184"/>
  <c r="GR5" i="184"/>
  <c r="GS5" i="184"/>
  <c r="GT5" i="184"/>
  <c r="GU5" i="184"/>
  <c r="GV5" i="184"/>
  <c r="GW5" i="184"/>
  <c r="GX5" i="184"/>
  <c r="GY5" i="184"/>
  <c r="GZ5" i="184"/>
  <c r="HA5" i="184"/>
  <c r="HB5" i="184"/>
  <c r="HC5" i="184"/>
  <c r="HD5" i="184"/>
  <c r="HE5" i="184"/>
  <c r="HF5" i="184"/>
  <c r="HG5" i="184"/>
  <c r="HH5" i="184"/>
  <c r="HI5" i="184"/>
  <c r="HJ5" i="184"/>
  <c r="HK5" i="184"/>
  <c r="HL5" i="184"/>
  <c r="HM5" i="184"/>
  <c r="HN5" i="184"/>
  <c r="HO5" i="184"/>
  <c r="HP5" i="184"/>
  <c r="HQ5" i="184"/>
  <c r="HR5" i="184"/>
  <c r="HS5" i="184"/>
  <c r="HT5" i="184"/>
  <c r="HU5" i="184"/>
  <c r="HV5" i="184"/>
  <c r="HW5" i="184"/>
  <c r="HX5" i="184"/>
  <c r="HY5" i="184"/>
  <c r="HZ5" i="184"/>
  <c r="IA5" i="184"/>
  <c r="IB5" i="184"/>
  <c r="IC5" i="184"/>
  <c r="ID5" i="184"/>
  <c r="IE5" i="184"/>
  <c r="IF5" i="184"/>
  <c r="IG5" i="184"/>
  <c r="IH5" i="184"/>
  <c r="II5" i="184"/>
  <c r="IJ5" i="184"/>
  <c r="IK5" i="184"/>
  <c r="IL5" i="184"/>
  <c r="IM5" i="184"/>
  <c r="IN5" i="184"/>
  <c r="IO5" i="184"/>
  <c r="IP5" i="184"/>
  <c r="IQ5" i="184"/>
  <c r="IR5" i="184"/>
  <c r="IS5" i="184"/>
  <c r="IT5" i="184"/>
  <c r="IU5" i="184"/>
  <c r="IV5" i="184"/>
  <c r="A4" i="184"/>
  <c r="B4" i="184"/>
  <c r="C4" i="184"/>
  <c r="D4" i="184"/>
  <c r="E4" i="184"/>
  <c r="F4" i="184"/>
  <c r="G4" i="184"/>
  <c r="H4" i="184"/>
  <c r="I4" i="184"/>
  <c r="J4" i="184"/>
  <c r="K4" i="184"/>
  <c r="L4" i="184"/>
  <c r="M4" i="184"/>
  <c r="N4" i="184"/>
  <c r="O4" i="184"/>
  <c r="P4" i="184"/>
  <c r="Q4" i="184"/>
  <c r="R4" i="184"/>
  <c r="S4" i="184"/>
  <c r="T4" i="184"/>
  <c r="U4" i="184"/>
  <c r="V4" i="184"/>
  <c r="W4" i="184"/>
  <c r="X4" i="184"/>
  <c r="Y4" i="184"/>
  <c r="Z4" i="184"/>
  <c r="AA4" i="184"/>
  <c r="AB4" i="184"/>
  <c r="AC4" i="184"/>
  <c r="AD4" i="184"/>
  <c r="AE4" i="184"/>
  <c r="AF4" i="184"/>
  <c r="AG4" i="184"/>
  <c r="AH4" i="184"/>
  <c r="AI4" i="184"/>
  <c r="AJ4" i="184"/>
  <c r="AK4" i="184"/>
  <c r="AL4" i="184"/>
  <c r="AM4" i="184"/>
  <c r="AN4" i="184"/>
  <c r="AO4" i="184"/>
  <c r="AP4" i="184"/>
  <c r="AQ4" i="184"/>
  <c r="AR4" i="184"/>
  <c r="AS4" i="184"/>
  <c r="AT4" i="184"/>
  <c r="AU4" i="184"/>
  <c r="AV4" i="184"/>
  <c r="AW4" i="184"/>
  <c r="AX4" i="184"/>
  <c r="AY4" i="184"/>
  <c r="AZ4" i="184"/>
  <c r="BA4" i="184"/>
  <c r="BB4" i="184"/>
  <c r="BC4" i="184"/>
  <c r="BD4" i="184"/>
  <c r="BE4" i="184"/>
  <c r="BF4" i="184"/>
  <c r="BG4" i="184"/>
  <c r="BH4" i="184"/>
  <c r="BI4" i="184"/>
  <c r="BJ4" i="184"/>
  <c r="BK4" i="184"/>
  <c r="BL4" i="184"/>
  <c r="BM4" i="184"/>
  <c r="BN4" i="184"/>
  <c r="BO4" i="184"/>
  <c r="BP4" i="184"/>
  <c r="BQ4" i="184"/>
  <c r="BR4" i="184"/>
  <c r="BS4" i="184"/>
  <c r="BT4" i="184"/>
  <c r="BU4" i="184"/>
  <c r="BV4" i="184"/>
  <c r="BW4" i="184"/>
  <c r="BX4" i="184"/>
  <c r="BY4" i="184"/>
  <c r="BZ4" i="184"/>
  <c r="CA4" i="184"/>
  <c r="CB4" i="184"/>
  <c r="CC4" i="184"/>
  <c r="CD4" i="184"/>
  <c r="CE4" i="184"/>
  <c r="CF4" i="184"/>
  <c r="CG4" i="184"/>
  <c r="CH4" i="184"/>
  <c r="CI4" i="184"/>
  <c r="CJ4" i="184"/>
  <c r="CK4" i="184"/>
  <c r="CL4" i="184"/>
  <c r="CM4" i="184"/>
  <c r="CN4" i="184"/>
  <c r="CO4" i="184"/>
  <c r="CP4" i="184"/>
  <c r="CQ4" i="184"/>
  <c r="CR4" i="184"/>
  <c r="CS4" i="184"/>
  <c r="CT4" i="184"/>
  <c r="CU4" i="184"/>
  <c r="CV4" i="184"/>
  <c r="CW4" i="184"/>
  <c r="CX4" i="184"/>
  <c r="CY4" i="184"/>
  <c r="CZ4" i="184"/>
  <c r="DA4" i="184"/>
  <c r="DB4" i="184"/>
  <c r="DC4" i="184"/>
  <c r="DD4" i="184"/>
  <c r="DE4" i="184"/>
  <c r="DF4" i="184"/>
  <c r="DG4" i="184"/>
  <c r="DH4" i="184"/>
  <c r="DI4" i="184"/>
  <c r="DJ4" i="184"/>
  <c r="DK4" i="184"/>
  <c r="DL4" i="184"/>
  <c r="DM4" i="184"/>
  <c r="DN4" i="184"/>
  <c r="DO4" i="184"/>
  <c r="DP4" i="184"/>
  <c r="DQ4" i="184"/>
  <c r="DR4" i="184"/>
  <c r="DS4" i="184"/>
  <c r="DT4" i="184"/>
  <c r="DU4" i="184"/>
  <c r="DV4" i="184"/>
  <c r="DW4" i="184"/>
  <c r="DX4" i="184"/>
  <c r="DY4" i="184"/>
  <c r="DZ4" i="184"/>
  <c r="EA4" i="184"/>
  <c r="EB4" i="184"/>
  <c r="EC4" i="184"/>
  <c r="ED4" i="184"/>
  <c r="EE4" i="184"/>
  <c r="EF4" i="184"/>
  <c r="EG4" i="184"/>
  <c r="EH4" i="184"/>
  <c r="EI4" i="184"/>
  <c r="EJ4" i="184"/>
  <c r="EK4" i="184"/>
  <c r="EL4" i="184"/>
  <c r="EM4" i="184"/>
  <c r="EN4" i="184"/>
  <c r="EO4" i="184"/>
  <c r="EP4" i="184"/>
  <c r="EQ4" i="184"/>
  <c r="ER4" i="184"/>
  <c r="ES4" i="184"/>
  <c r="ET4" i="184"/>
  <c r="EU4" i="184"/>
  <c r="EV4" i="184"/>
  <c r="EW4" i="184"/>
  <c r="EX4" i="184"/>
  <c r="EY4" i="184"/>
  <c r="EZ4" i="184"/>
  <c r="FA4" i="184"/>
  <c r="FB4" i="184"/>
  <c r="FC4" i="184"/>
  <c r="FD4" i="184"/>
  <c r="FE4" i="184"/>
  <c r="FF4" i="184"/>
  <c r="FG4" i="184"/>
  <c r="FH4" i="184"/>
  <c r="FI4" i="184"/>
  <c r="FJ4" i="184"/>
  <c r="FK4" i="184"/>
  <c r="FL4" i="184"/>
  <c r="FM4" i="184"/>
  <c r="FN4" i="184"/>
  <c r="FO4" i="184"/>
  <c r="FP4" i="184"/>
  <c r="FQ4" i="184"/>
  <c r="FR4" i="184"/>
  <c r="FS4" i="184"/>
  <c r="FT4" i="184"/>
  <c r="FU4" i="184"/>
  <c r="FV4" i="184"/>
  <c r="FW4" i="184"/>
  <c r="FX4" i="184"/>
  <c r="FY4" i="184"/>
  <c r="FZ4" i="184"/>
  <c r="GA4" i="184"/>
  <c r="GB4" i="184"/>
  <c r="GC4" i="184"/>
  <c r="GD4" i="184"/>
  <c r="GE4" i="184"/>
  <c r="GF4" i="184"/>
  <c r="GG4" i="184"/>
  <c r="GH4" i="184"/>
  <c r="GI4" i="184"/>
  <c r="GJ4" i="184"/>
  <c r="GK4" i="184"/>
  <c r="GL4" i="184"/>
  <c r="GM4" i="184"/>
  <c r="GN4" i="184"/>
  <c r="GO4" i="184"/>
  <c r="GP4" i="184"/>
  <c r="GQ4" i="184"/>
  <c r="GR4" i="184"/>
  <c r="GS4" i="184"/>
  <c r="GT4" i="184"/>
  <c r="GU4" i="184"/>
  <c r="GV4" i="184"/>
  <c r="GW4" i="184"/>
  <c r="GX4" i="184"/>
  <c r="GY4" i="184"/>
  <c r="GZ4" i="184"/>
  <c r="HA4" i="184"/>
  <c r="HB4" i="184"/>
  <c r="HC4" i="184"/>
  <c r="HD4" i="184"/>
  <c r="HE4" i="184"/>
  <c r="HF4" i="184"/>
  <c r="HG4" i="184"/>
  <c r="HH4" i="184"/>
  <c r="HI4" i="184"/>
  <c r="HJ4" i="184"/>
  <c r="HK4" i="184"/>
  <c r="HL4" i="184"/>
  <c r="HM4" i="184"/>
  <c r="HN4" i="184"/>
  <c r="HO4" i="184"/>
  <c r="HP4" i="184"/>
  <c r="HQ4" i="184"/>
  <c r="HR4" i="184"/>
  <c r="HS4" i="184"/>
  <c r="HT4" i="184"/>
  <c r="HU4" i="184"/>
  <c r="HV4" i="184"/>
  <c r="HW4" i="184"/>
  <c r="HX4" i="184"/>
  <c r="HY4" i="184"/>
  <c r="HZ4" i="184"/>
  <c r="IA4" i="184"/>
  <c r="IB4" i="184"/>
  <c r="IC4" i="184"/>
  <c r="ID4" i="184"/>
  <c r="IE4" i="184"/>
  <c r="IF4" i="184"/>
  <c r="IG4" i="184"/>
  <c r="IH4" i="184"/>
  <c r="II4" i="184"/>
  <c r="IJ4" i="184"/>
  <c r="IK4" i="184"/>
  <c r="IL4" i="184"/>
  <c r="IM4" i="184"/>
  <c r="IN4" i="184"/>
  <c r="IO4" i="184"/>
  <c r="IP4" i="184"/>
  <c r="IQ4" i="184"/>
  <c r="IR4" i="184"/>
  <c r="IS4" i="184"/>
  <c r="IT4" i="184"/>
  <c r="IU4" i="184"/>
  <c r="IV4" i="184"/>
  <c r="A3" i="184"/>
  <c r="B3" i="184"/>
  <c r="C3" i="184"/>
  <c r="D3" i="184"/>
  <c r="E3" i="184"/>
  <c r="F3" i="184"/>
  <c r="G3" i="184"/>
  <c r="H3" i="184"/>
  <c r="I3" i="184"/>
  <c r="J3" i="184"/>
  <c r="K3" i="184"/>
  <c r="L3" i="184"/>
  <c r="M3" i="184"/>
  <c r="N3" i="184"/>
  <c r="O3" i="184"/>
  <c r="P3" i="184"/>
  <c r="Q3" i="184"/>
  <c r="R3" i="184"/>
  <c r="S3" i="184"/>
  <c r="T3" i="184"/>
  <c r="U3" i="184"/>
  <c r="V3" i="184"/>
  <c r="W3" i="184"/>
  <c r="X3" i="184"/>
  <c r="Y3" i="184"/>
  <c r="Z3" i="184"/>
  <c r="AA3" i="184"/>
  <c r="AB3" i="184"/>
  <c r="AC3" i="184"/>
  <c r="AD3" i="184"/>
  <c r="AE3" i="184"/>
  <c r="AF3" i="184"/>
  <c r="AG3" i="184"/>
  <c r="AH3" i="184"/>
  <c r="AI3" i="184"/>
  <c r="AJ3" i="184"/>
  <c r="AK3" i="184"/>
  <c r="AL3" i="184"/>
  <c r="AM3" i="184"/>
  <c r="AN3" i="184"/>
  <c r="AO3" i="184"/>
  <c r="AP3" i="184"/>
  <c r="AQ3" i="184"/>
  <c r="AR3" i="184"/>
  <c r="AS3" i="184"/>
  <c r="AT3" i="184"/>
  <c r="AU3" i="184"/>
  <c r="AV3" i="184"/>
  <c r="AW3" i="184"/>
  <c r="AX3" i="184"/>
  <c r="AY3" i="184"/>
  <c r="AZ3" i="184"/>
  <c r="BA3" i="184"/>
  <c r="BB3" i="184"/>
  <c r="BC3" i="184"/>
  <c r="BD3" i="184"/>
  <c r="BE3" i="184"/>
  <c r="BF3" i="184"/>
  <c r="BG3" i="184"/>
  <c r="BH3" i="184"/>
  <c r="BI3" i="184"/>
  <c r="BJ3" i="184"/>
  <c r="BK3" i="184"/>
  <c r="BL3" i="184"/>
  <c r="BM3" i="184"/>
  <c r="BN3" i="184"/>
  <c r="BO3" i="184"/>
  <c r="BP3" i="184"/>
  <c r="BQ3" i="184"/>
  <c r="BR3" i="184"/>
  <c r="BS3" i="184"/>
  <c r="BT3" i="184"/>
  <c r="BU3" i="184"/>
  <c r="BV3" i="184"/>
  <c r="BW3" i="184"/>
  <c r="BX3" i="184"/>
  <c r="BY3" i="184"/>
  <c r="BZ3" i="184"/>
  <c r="CA3" i="184"/>
  <c r="CB3" i="184"/>
  <c r="CC3" i="184"/>
  <c r="CD3" i="184"/>
  <c r="CE3" i="184"/>
  <c r="CF3" i="184"/>
  <c r="CG3" i="184"/>
  <c r="CH3" i="184"/>
  <c r="CI3" i="184"/>
  <c r="CJ3" i="184"/>
  <c r="CK3" i="184"/>
  <c r="CL3" i="184"/>
  <c r="CM3" i="184"/>
  <c r="CN3" i="184"/>
  <c r="CO3" i="184"/>
  <c r="CP3" i="184"/>
  <c r="CQ3" i="184"/>
  <c r="CR3" i="184"/>
  <c r="CS3" i="184"/>
  <c r="CT3" i="184"/>
  <c r="CU3" i="184"/>
  <c r="CV3" i="184"/>
  <c r="CW3" i="184"/>
  <c r="CX3" i="184"/>
  <c r="CY3" i="184"/>
  <c r="CZ3" i="184"/>
  <c r="DA3" i="184"/>
  <c r="DB3" i="184"/>
  <c r="DC3" i="184"/>
  <c r="DD3" i="184"/>
  <c r="DE3" i="184"/>
  <c r="DF3" i="184"/>
  <c r="DG3" i="184"/>
  <c r="DH3" i="184"/>
  <c r="DI3" i="184"/>
  <c r="DJ3" i="184"/>
  <c r="DK3" i="184"/>
  <c r="DL3" i="184"/>
  <c r="DM3" i="184"/>
  <c r="DN3" i="184"/>
  <c r="DO3" i="184"/>
  <c r="DP3" i="184"/>
  <c r="DQ3" i="184"/>
  <c r="DR3" i="184"/>
  <c r="DS3" i="184"/>
  <c r="DT3" i="184"/>
  <c r="DU3" i="184"/>
  <c r="DV3" i="184"/>
  <c r="DW3" i="184"/>
  <c r="DX3" i="184"/>
  <c r="DY3" i="184"/>
  <c r="DZ3" i="184"/>
  <c r="EA3" i="184"/>
  <c r="EB3" i="184"/>
  <c r="EC3" i="184"/>
  <c r="ED3" i="184"/>
  <c r="EE3" i="184"/>
  <c r="EF3" i="184"/>
  <c r="EG3" i="184"/>
  <c r="EH3" i="184"/>
  <c r="EI3" i="184"/>
  <c r="EJ3" i="184"/>
  <c r="EK3" i="184"/>
  <c r="EL3" i="184"/>
  <c r="EM3" i="184"/>
  <c r="EN3" i="184"/>
  <c r="EO3" i="184"/>
  <c r="EP3" i="184"/>
  <c r="EQ3" i="184"/>
  <c r="ER3" i="184"/>
  <c r="ES3" i="184"/>
  <c r="ET3" i="184"/>
  <c r="EU3" i="184"/>
  <c r="EV3" i="184"/>
  <c r="EW3" i="184"/>
  <c r="EX3" i="184"/>
  <c r="EY3" i="184"/>
  <c r="EZ3" i="184"/>
  <c r="FA3" i="184"/>
  <c r="FB3" i="184"/>
  <c r="FC3" i="184"/>
  <c r="FD3" i="184"/>
  <c r="FE3" i="184"/>
  <c r="FF3" i="184"/>
  <c r="FG3" i="184"/>
  <c r="FH3" i="184"/>
  <c r="FI3" i="184"/>
  <c r="FJ3" i="184"/>
  <c r="FK3" i="184"/>
  <c r="FL3" i="184"/>
  <c r="FM3" i="184"/>
  <c r="FN3" i="184"/>
  <c r="FO3" i="184"/>
  <c r="FP3" i="184"/>
  <c r="FQ3" i="184"/>
  <c r="FR3" i="184"/>
  <c r="FS3" i="184"/>
  <c r="FT3" i="184"/>
  <c r="FU3" i="184"/>
  <c r="FV3" i="184"/>
  <c r="FW3" i="184"/>
  <c r="FX3" i="184"/>
  <c r="FY3" i="184"/>
  <c r="FZ3" i="184"/>
  <c r="GA3" i="184"/>
  <c r="GB3" i="184"/>
  <c r="GC3" i="184"/>
  <c r="GD3" i="184"/>
  <c r="GE3" i="184"/>
  <c r="GF3" i="184"/>
  <c r="GG3" i="184"/>
  <c r="GH3" i="184"/>
  <c r="GI3" i="184"/>
  <c r="GJ3" i="184"/>
  <c r="GK3" i="184"/>
  <c r="GL3" i="184"/>
  <c r="GM3" i="184"/>
  <c r="GN3" i="184"/>
  <c r="GO3" i="184"/>
  <c r="GP3" i="184"/>
  <c r="GQ3" i="184"/>
  <c r="GR3" i="184"/>
  <c r="GS3" i="184"/>
  <c r="GT3" i="184"/>
  <c r="GU3" i="184"/>
  <c r="GV3" i="184"/>
  <c r="GW3" i="184"/>
  <c r="GX3" i="184"/>
  <c r="GY3" i="184"/>
  <c r="GZ3" i="184"/>
  <c r="HA3" i="184"/>
  <c r="HB3" i="184"/>
  <c r="HC3" i="184"/>
  <c r="HD3" i="184"/>
  <c r="HE3" i="184"/>
  <c r="HF3" i="184"/>
  <c r="HG3" i="184"/>
  <c r="HH3" i="184"/>
  <c r="HI3" i="184"/>
  <c r="HJ3" i="184"/>
  <c r="HK3" i="184"/>
  <c r="HL3" i="184"/>
  <c r="HM3" i="184"/>
  <c r="HN3" i="184"/>
  <c r="HO3" i="184"/>
  <c r="HP3" i="184"/>
  <c r="HQ3" i="184"/>
  <c r="HR3" i="184"/>
  <c r="HS3" i="184"/>
  <c r="HT3" i="184"/>
  <c r="HU3" i="184"/>
  <c r="HV3" i="184"/>
  <c r="HW3" i="184"/>
  <c r="HX3" i="184"/>
  <c r="HY3" i="184"/>
  <c r="HZ3" i="184"/>
  <c r="IA3" i="184"/>
  <c r="IB3" i="184"/>
  <c r="IC3" i="184"/>
  <c r="ID3" i="184"/>
  <c r="IE3" i="184"/>
  <c r="IF3" i="184"/>
  <c r="IG3" i="184"/>
  <c r="IH3" i="184"/>
  <c r="II3" i="184"/>
  <c r="IJ3" i="184"/>
  <c r="IK3" i="184"/>
  <c r="IL3" i="184"/>
  <c r="IM3" i="184"/>
  <c r="IN3" i="184"/>
  <c r="IO3" i="184"/>
  <c r="IP3" i="184"/>
  <c r="IQ3" i="184"/>
  <c r="IR3" i="184"/>
  <c r="IS3" i="184"/>
  <c r="IT3" i="184"/>
  <c r="IU3" i="184"/>
  <c r="IV3" i="184"/>
  <c r="A2" i="184"/>
  <c r="B2" i="184"/>
  <c r="C2" i="184"/>
  <c r="D2" i="184"/>
  <c r="E2" i="184"/>
  <c r="F2" i="184"/>
  <c r="G2" i="184"/>
  <c r="H2" i="184"/>
  <c r="I2" i="184"/>
  <c r="J2" i="184"/>
  <c r="K2" i="184"/>
  <c r="L2" i="184"/>
  <c r="M2" i="184"/>
  <c r="N2" i="184"/>
  <c r="O2" i="184"/>
  <c r="P2" i="184"/>
  <c r="Q2" i="184"/>
  <c r="R2" i="184"/>
  <c r="S2" i="184"/>
  <c r="T2" i="184"/>
  <c r="U2" i="184"/>
  <c r="V2" i="184"/>
  <c r="W2" i="184"/>
  <c r="X2" i="184"/>
  <c r="Y2" i="184"/>
  <c r="Z2" i="184"/>
  <c r="AA2" i="184"/>
  <c r="AB2" i="184"/>
  <c r="AC2" i="184"/>
  <c r="AD2" i="184"/>
  <c r="AE2" i="184"/>
  <c r="AF2" i="184"/>
  <c r="AG2" i="184"/>
  <c r="AH2" i="184"/>
  <c r="AI2" i="184"/>
  <c r="AJ2" i="184"/>
  <c r="AK2" i="184"/>
  <c r="AL2" i="184"/>
  <c r="AM2" i="184"/>
  <c r="AN2" i="184"/>
  <c r="AO2" i="184"/>
  <c r="AP2" i="184"/>
  <c r="AQ2" i="184"/>
  <c r="AR2" i="184"/>
  <c r="AS2" i="184"/>
  <c r="AT2" i="184"/>
  <c r="AU2" i="184"/>
  <c r="AV2" i="184"/>
  <c r="AW2" i="184"/>
  <c r="AX2" i="184"/>
  <c r="AY2" i="184"/>
  <c r="AZ2" i="184"/>
  <c r="BA2" i="184"/>
  <c r="BB2" i="184"/>
  <c r="BC2" i="184"/>
  <c r="BD2" i="184"/>
  <c r="BE2" i="184"/>
  <c r="BF2" i="184"/>
  <c r="BG2" i="184"/>
  <c r="BH2" i="184"/>
  <c r="BI2" i="184"/>
  <c r="BJ2" i="184"/>
  <c r="BK2" i="184"/>
  <c r="BL2" i="184"/>
  <c r="BM2" i="184"/>
  <c r="BN2" i="184"/>
  <c r="BO2" i="184"/>
  <c r="BP2" i="184"/>
  <c r="BQ2" i="184"/>
  <c r="BR2" i="184"/>
  <c r="BS2" i="184"/>
  <c r="BT2" i="184"/>
  <c r="BU2" i="184"/>
  <c r="BV2" i="184"/>
  <c r="BW2" i="184"/>
  <c r="BX2" i="184"/>
  <c r="BY2" i="184"/>
  <c r="BZ2" i="184"/>
  <c r="CA2" i="184"/>
  <c r="CB2" i="184"/>
  <c r="CC2" i="184"/>
  <c r="CD2" i="184"/>
  <c r="CE2" i="184"/>
  <c r="CF2" i="184"/>
  <c r="CG2" i="184"/>
  <c r="CH2" i="184"/>
  <c r="CI2" i="184"/>
  <c r="CJ2" i="184"/>
  <c r="CK2" i="184"/>
  <c r="CL2" i="184"/>
  <c r="CM2" i="184"/>
  <c r="CN2" i="184"/>
  <c r="CO2" i="184"/>
  <c r="CP2" i="184"/>
  <c r="CQ2" i="184"/>
  <c r="CR2" i="184"/>
  <c r="CS2" i="184"/>
  <c r="CT2" i="184"/>
  <c r="CU2" i="184"/>
  <c r="CV2" i="184"/>
  <c r="CW2" i="184"/>
  <c r="CX2" i="184"/>
  <c r="CY2" i="184"/>
  <c r="CZ2" i="184"/>
  <c r="DA2" i="184"/>
  <c r="DB2" i="184"/>
  <c r="DC2" i="184"/>
  <c r="DD2" i="184"/>
  <c r="DE2" i="184"/>
  <c r="DF2" i="184"/>
  <c r="DG2" i="184"/>
  <c r="DH2" i="184"/>
  <c r="DI2" i="184"/>
  <c r="DJ2" i="184"/>
  <c r="DK2" i="184"/>
  <c r="DL2" i="184"/>
  <c r="DM2" i="184"/>
  <c r="DN2" i="184"/>
  <c r="DO2" i="184"/>
  <c r="DP2" i="184"/>
  <c r="DQ2" i="184"/>
  <c r="DR2" i="184"/>
  <c r="DS2" i="184"/>
  <c r="DT2" i="184"/>
  <c r="DU2" i="184"/>
  <c r="DV2" i="184"/>
  <c r="DW2" i="184"/>
  <c r="DX2" i="184"/>
  <c r="DY2" i="184"/>
  <c r="DZ2" i="184"/>
  <c r="EA2" i="184"/>
  <c r="EB2" i="184"/>
  <c r="EC2" i="184"/>
  <c r="ED2" i="184"/>
  <c r="EE2" i="184"/>
  <c r="EF2" i="184"/>
  <c r="EG2" i="184"/>
  <c r="EH2" i="184"/>
  <c r="EI2" i="184"/>
  <c r="EJ2" i="184"/>
  <c r="EK2" i="184"/>
  <c r="EL2" i="184"/>
  <c r="EM2" i="184"/>
  <c r="EN2" i="184"/>
  <c r="EO2" i="184"/>
  <c r="EP2" i="184"/>
  <c r="EQ2" i="184"/>
  <c r="ER2" i="184"/>
  <c r="ES2" i="184"/>
  <c r="ET2" i="184"/>
  <c r="EU2" i="184"/>
  <c r="EV2" i="184"/>
  <c r="EW2" i="184"/>
  <c r="EX2" i="184"/>
  <c r="EY2" i="184"/>
  <c r="EZ2" i="184"/>
  <c r="FA2" i="184"/>
  <c r="FB2" i="184"/>
  <c r="FC2" i="184"/>
  <c r="FD2" i="184"/>
  <c r="FE2" i="184"/>
  <c r="FF2" i="184"/>
  <c r="FG2" i="184"/>
  <c r="FH2" i="184"/>
  <c r="FI2" i="184"/>
  <c r="FJ2" i="184"/>
  <c r="FK2" i="184"/>
  <c r="FL2" i="184"/>
  <c r="FM2" i="184"/>
  <c r="FN2" i="184"/>
  <c r="FO2" i="184"/>
  <c r="FP2" i="184"/>
  <c r="FQ2" i="184"/>
  <c r="FR2" i="184"/>
  <c r="FS2" i="184"/>
  <c r="FT2" i="184"/>
  <c r="FU2" i="184"/>
  <c r="FV2" i="184"/>
  <c r="FW2" i="184"/>
  <c r="FX2" i="184"/>
  <c r="FY2" i="184"/>
  <c r="FZ2" i="184"/>
  <c r="GA2" i="184"/>
  <c r="GB2" i="184"/>
  <c r="GC2" i="184"/>
  <c r="GD2" i="184"/>
  <c r="GE2" i="184"/>
  <c r="GF2" i="184"/>
  <c r="GG2" i="184"/>
  <c r="GH2" i="184"/>
  <c r="GI2" i="184"/>
  <c r="GJ2" i="184"/>
  <c r="GK2" i="184"/>
  <c r="GL2" i="184"/>
  <c r="GM2" i="184"/>
  <c r="GN2" i="184"/>
  <c r="GO2" i="184"/>
  <c r="GP2" i="184"/>
  <c r="GQ2" i="184"/>
  <c r="GR2" i="184"/>
  <c r="GS2" i="184"/>
  <c r="GT2" i="184"/>
  <c r="GU2" i="184"/>
  <c r="GV2" i="184"/>
  <c r="GW2" i="184"/>
  <c r="GX2" i="184"/>
  <c r="GY2" i="184"/>
  <c r="GZ2" i="184"/>
  <c r="HA2" i="184"/>
  <c r="HB2" i="184"/>
  <c r="HC2" i="184"/>
  <c r="HD2" i="184"/>
  <c r="HE2" i="184"/>
  <c r="HF2" i="184"/>
  <c r="HG2" i="184"/>
  <c r="HH2" i="184"/>
  <c r="HI2" i="184"/>
  <c r="HJ2" i="184"/>
  <c r="HK2" i="184"/>
  <c r="HL2" i="184"/>
  <c r="HM2" i="184"/>
  <c r="HN2" i="184"/>
  <c r="HO2" i="184"/>
  <c r="HP2" i="184"/>
  <c r="HQ2" i="184"/>
  <c r="HR2" i="184"/>
  <c r="HS2" i="184"/>
  <c r="HT2" i="184"/>
  <c r="HU2" i="184"/>
  <c r="HV2" i="184"/>
  <c r="HW2" i="184"/>
  <c r="HX2" i="184"/>
  <c r="HY2" i="184"/>
  <c r="HZ2" i="184"/>
  <c r="IA2" i="184"/>
  <c r="IB2" i="184"/>
  <c r="IC2" i="184"/>
  <c r="ID2" i="184"/>
  <c r="IE2" i="184"/>
  <c r="IF2" i="184"/>
  <c r="IG2" i="184"/>
  <c r="IH2" i="184"/>
  <c r="II2" i="184"/>
  <c r="IJ2" i="184"/>
  <c r="IK2" i="184"/>
  <c r="IL2" i="184"/>
  <c r="IM2" i="184"/>
  <c r="IN2" i="184"/>
  <c r="IO2" i="184"/>
  <c r="IP2" i="184"/>
  <c r="IQ2" i="184"/>
  <c r="IR2" i="184"/>
  <c r="IS2" i="184"/>
  <c r="IT2" i="184"/>
  <c r="IU2" i="184"/>
  <c r="IV2" i="184"/>
  <c r="A1" i="184"/>
  <c r="B1" i="184"/>
  <c r="C1" i="184"/>
  <c r="D1" i="184"/>
  <c r="E1" i="184"/>
  <c r="F1" i="184"/>
  <c r="G1" i="184"/>
  <c r="H1" i="184"/>
  <c r="I1" i="184"/>
  <c r="J1" i="184"/>
  <c r="K1" i="184"/>
  <c r="L1" i="184"/>
  <c r="M1" i="184"/>
  <c r="N1" i="184"/>
  <c r="O1" i="184"/>
  <c r="P1" i="184"/>
  <c r="Q1" i="184"/>
  <c r="R1" i="184"/>
  <c r="S1" i="184"/>
  <c r="T1" i="184"/>
  <c r="U1" i="184"/>
  <c r="V1" i="184"/>
  <c r="W1" i="184"/>
  <c r="X1" i="184"/>
  <c r="Y1" i="184"/>
  <c r="Z1" i="184"/>
  <c r="AA1" i="184"/>
  <c r="AB1" i="184"/>
  <c r="AC1" i="184"/>
  <c r="AD1" i="184"/>
  <c r="AE1" i="184"/>
  <c r="AF1" i="184"/>
  <c r="AG1" i="184"/>
  <c r="AH1" i="184"/>
  <c r="AI1" i="184"/>
  <c r="AJ1" i="184"/>
  <c r="AK1" i="184"/>
  <c r="AL1" i="184"/>
  <c r="AM1" i="184"/>
  <c r="AN1" i="184"/>
  <c r="AO1" i="184"/>
  <c r="AP1" i="184"/>
  <c r="AQ1" i="184"/>
  <c r="AR1" i="184"/>
  <c r="AS1" i="184"/>
  <c r="AT1" i="184"/>
  <c r="AU1" i="184"/>
  <c r="AV1" i="184"/>
  <c r="AW1" i="184"/>
  <c r="AX1" i="184"/>
  <c r="AY1" i="184"/>
  <c r="AZ1" i="184"/>
  <c r="BA1" i="184"/>
  <c r="BB1" i="184"/>
  <c r="BC1" i="184"/>
  <c r="BD1" i="184"/>
  <c r="BE1" i="184"/>
  <c r="BF1" i="184"/>
  <c r="BG1" i="184"/>
  <c r="BH1" i="184"/>
  <c r="BI1" i="184"/>
  <c r="BJ1" i="184"/>
  <c r="BK1" i="184"/>
  <c r="BL1" i="184"/>
  <c r="BM1" i="184"/>
  <c r="BN1" i="184"/>
  <c r="BO1" i="184"/>
  <c r="BP1" i="184"/>
  <c r="BQ1" i="184"/>
  <c r="BR1" i="184"/>
  <c r="BS1" i="184"/>
  <c r="BT1" i="184"/>
  <c r="BU1" i="184"/>
  <c r="BV1" i="184"/>
  <c r="BW1" i="184"/>
  <c r="BX1" i="184"/>
  <c r="BY1" i="184"/>
  <c r="BZ1" i="184"/>
  <c r="CA1" i="184"/>
  <c r="CB1" i="184"/>
  <c r="CC1" i="184"/>
  <c r="CD1" i="184"/>
  <c r="CE1" i="184"/>
  <c r="CF1" i="184"/>
  <c r="CG1" i="184"/>
  <c r="CH1" i="184"/>
  <c r="CI1" i="184"/>
  <c r="CJ1" i="184"/>
  <c r="CK1" i="184"/>
  <c r="CL1" i="184"/>
  <c r="CM1" i="184"/>
  <c r="CN1" i="184"/>
  <c r="CO1" i="184"/>
  <c r="CP1" i="184"/>
  <c r="CQ1" i="184"/>
  <c r="CR1" i="184"/>
  <c r="CS1" i="184"/>
  <c r="CT1" i="184"/>
  <c r="CU1" i="184"/>
  <c r="CV1" i="184"/>
  <c r="CW1" i="184"/>
  <c r="CX1" i="184"/>
  <c r="CY1" i="184"/>
  <c r="CZ1" i="184"/>
  <c r="DA1" i="184"/>
  <c r="DB1" i="184"/>
  <c r="DC1" i="184"/>
  <c r="DD1" i="184"/>
  <c r="DE1" i="184"/>
  <c r="DF1" i="184"/>
  <c r="DG1" i="184"/>
  <c r="DH1" i="184"/>
  <c r="DI1" i="184"/>
  <c r="DJ1" i="184"/>
  <c r="DK1" i="184"/>
  <c r="DL1" i="184"/>
  <c r="DM1" i="184"/>
  <c r="DN1" i="184"/>
  <c r="DO1" i="184"/>
  <c r="DP1" i="184"/>
  <c r="DQ1" i="184"/>
  <c r="DR1" i="184"/>
  <c r="DS1" i="184"/>
  <c r="DT1" i="184"/>
  <c r="DU1" i="184"/>
  <c r="DV1" i="184"/>
  <c r="DW1" i="184"/>
  <c r="DX1" i="184"/>
  <c r="DY1" i="184"/>
  <c r="DZ1" i="184"/>
  <c r="EA1" i="184"/>
  <c r="EB1" i="184"/>
  <c r="EC1" i="184"/>
  <c r="ED1" i="184"/>
  <c r="EE1" i="184"/>
  <c r="EF1" i="184"/>
  <c r="EG1" i="184"/>
  <c r="EH1" i="184"/>
  <c r="EI1" i="184"/>
  <c r="EJ1" i="184"/>
  <c r="EK1" i="184"/>
  <c r="EL1" i="184"/>
  <c r="EM1" i="184"/>
  <c r="EN1" i="184"/>
  <c r="EO1" i="184"/>
  <c r="EP1" i="184"/>
  <c r="EQ1" i="184"/>
  <c r="ER1" i="184"/>
  <c r="ES1" i="184"/>
  <c r="ET1" i="184"/>
  <c r="EU1" i="184"/>
  <c r="EV1" i="184"/>
  <c r="EW1" i="184"/>
  <c r="EX1" i="184"/>
  <c r="EY1" i="184"/>
  <c r="EZ1" i="184"/>
  <c r="FA1" i="184"/>
  <c r="FB1" i="184"/>
  <c r="FC1" i="184"/>
  <c r="FD1" i="184"/>
  <c r="FE1" i="184"/>
  <c r="FF1" i="184"/>
  <c r="FG1" i="184"/>
  <c r="FH1" i="184"/>
  <c r="FI1" i="184"/>
  <c r="FJ1" i="184"/>
  <c r="FK1" i="184"/>
  <c r="FL1" i="184"/>
  <c r="FM1" i="184"/>
  <c r="FN1" i="184"/>
  <c r="FO1" i="184"/>
  <c r="FP1" i="184"/>
  <c r="FQ1" i="184"/>
  <c r="FR1" i="184"/>
  <c r="FS1" i="184"/>
  <c r="FT1" i="184"/>
  <c r="FU1" i="184"/>
  <c r="FV1" i="184"/>
  <c r="FW1" i="184"/>
  <c r="FX1" i="184"/>
  <c r="FY1" i="184"/>
  <c r="FZ1" i="184"/>
  <c r="GA1" i="184"/>
  <c r="GB1" i="184"/>
  <c r="GC1" i="184"/>
  <c r="GD1" i="184"/>
  <c r="GE1" i="184"/>
  <c r="GF1" i="184"/>
  <c r="GG1" i="184"/>
  <c r="GH1" i="184"/>
  <c r="GI1" i="184"/>
  <c r="GJ1" i="184"/>
  <c r="GK1" i="184"/>
  <c r="GL1" i="184"/>
  <c r="GM1" i="184"/>
  <c r="GN1" i="184"/>
  <c r="GO1" i="184"/>
  <c r="GP1" i="184"/>
  <c r="GQ1" i="184"/>
  <c r="GR1" i="184"/>
  <c r="GS1" i="184"/>
  <c r="GT1" i="184"/>
  <c r="GU1" i="184"/>
  <c r="GV1" i="184"/>
  <c r="GW1" i="184"/>
  <c r="GX1" i="184"/>
  <c r="GY1" i="184"/>
  <c r="GZ1" i="184"/>
  <c r="HA1" i="184"/>
  <c r="HB1" i="184"/>
  <c r="HC1" i="184"/>
  <c r="HD1" i="184"/>
  <c r="HE1" i="184"/>
  <c r="HF1" i="184"/>
  <c r="HG1" i="184"/>
  <c r="HH1" i="184"/>
  <c r="HI1" i="184"/>
  <c r="HJ1" i="184"/>
  <c r="HK1" i="184"/>
  <c r="HL1" i="184"/>
  <c r="HM1" i="184"/>
  <c r="HN1" i="184"/>
  <c r="HO1" i="184"/>
  <c r="HP1" i="184"/>
  <c r="HQ1" i="184"/>
  <c r="HR1" i="184"/>
  <c r="HS1" i="184"/>
  <c r="HT1" i="184"/>
  <c r="HU1" i="184"/>
  <c r="HV1" i="184"/>
  <c r="HW1" i="184"/>
  <c r="HX1" i="184"/>
  <c r="HY1" i="184"/>
  <c r="HZ1" i="184"/>
  <c r="IA1" i="184"/>
  <c r="IB1" i="184"/>
  <c r="IC1" i="184"/>
  <c r="ID1" i="184"/>
  <c r="IE1" i="184"/>
  <c r="IF1" i="184"/>
  <c r="IG1" i="184"/>
  <c r="IH1" i="184"/>
  <c r="II1" i="184"/>
  <c r="IJ1" i="184"/>
  <c r="IK1" i="184"/>
  <c r="IL1" i="184"/>
  <c r="IM1" i="184"/>
  <c r="IN1" i="184"/>
  <c r="IO1" i="184"/>
  <c r="IP1" i="184"/>
  <c r="IQ1" i="184"/>
  <c r="IR1" i="184"/>
  <c r="IS1" i="184"/>
  <c r="IT1" i="184"/>
  <c r="IU1" i="184"/>
  <c r="IV1" i="184"/>
  <c r="F25" i="184"/>
  <c r="I53" i="184"/>
  <c r="G48" i="184"/>
  <c r="FL58" i="184"/>
  <c r="FN58" i="184"/>
  <c r="FT58" i="184"/>
  <c r="K51" i="184"/>
  <c r="H47" i="184"/>
  <c r="F30" i="184"/>
  <c r="D11" i="184"/>
  <c r="I46" i="184"/>
  <c r="FP58" i="184"/>
  <c r="FR58" i="184"/>
  <c r="K14" i="184"/>
  <c r="H60" i="184"/>
  <c r="AA37" i="184"/>
  <c r="H12" i="184"/>
  <c r="DR23" i="184"/>
  <c r="DP23" i="184"/>
  <c r="DN23" i="184"/>
  <c r="HJ38" i="184"/>
  <c r="HL38" i="184"/>
  <c r="HN38" i="184"/>
  <c r="HP38" i="184"/>
  <c r="HR38" i="184"/>
  <c r="HT38" i="184"/>
  <c r="HH38" i="184"/>
  <c r="HW38" i="184"/>
  <c r="S32" i="184"/>
  <c r="W31" i="184"/>
  <c r="HE32" i="184"/>
  <c r="T26" i="184"/>
  <c r="J52" i="184"/>
  <c r="M18" i="184"/>
  <c r="N55" i="184"/>
  <c r="FE15" i="184"/>
  <c r="FG15" i="184"/>
  <c r="FC15" i="184"/>
  <c r="FA15" i="184"/>
  <c r="GP32" i="184"/>
  <c r="GV32" i="184"/>
  <c r="GX32" i="184"/>
  <c r="HB32" i="184"/>
  <c r="GZ32" i="184"/>
  <c r="DW23" i="184"/>
  <c r="IH10" i="184"/>
  <c r="ID10" i="184"/>
  <c r="IF10" i="184"/>
  <c r="FH15" i="184"/>
  <c r="FB15" i="184"/>
  <c r="EZ63" i="184"/>
  <c r="EX63" i="184"/>
  <c r="L57" i="184"/>
  <c r="GY50" i="184"/>
  <c r="CX46" i="184"/>
  <c r="AK29" i="184"/>
  <c r="GU50" i="184"/>
  <c r="AQ29" i="184"/>
  <c r="HA50" i="184"/>
  <c r="AS29" i="184"/>
  <c r="HW16" i="184"/>
  <c r="BD55" i="184"/>
  <c r="CZ46" i="184"/>
  <c r="HY16" i="184"/>
  <c r="GW50" i="184"/>
  <c r="F37" i="184"/>
  <c r="F62" i="184"/>
  <c r="AC60" i="184"/>
  <c r="EV34" i="184"/>
  <c r="AU29" i="184"/>
  <c r="AE29" i="184"/>
  <c r="DB46" i="184"/>
  <c r="J29" i="184"/>
  <c r="AO29" i="184"/>
  <c r="FD34" i="184"/>
  <c r="AE60" i="184"/>
  <c r="AI60" i="184"/>
  <c r="EZ34" i="184"/>
  <c r="BF55" i="184"/>
  <c r="CV46" i="184"/>
  <c r="AI29" i="184"/>
  <c r="GD7" i="184"/>
  <c r="IA16" i="184"/>
  <c r="AG60" i="184"/>
  <c r="CT46" i="184"/>
  <c r="W43" i="184"/>
  <c r="ER34" i="184"/>
  <c r="AZ55" i="184"/>
  <c r="O23" i="184"/>
  <c r="Q67" i="184"/>
  <c r="BH55" i="184"/>
  <c r="HU16" i="184"/>
  <c r="FZ7" i="184"/>
  <c r="BB55" i="184"/>
  <c r="O15" i="184"/>
  <c r="HV38" i="184"/>
  <c r="CP49" i="184"/>
  <c r="GS32" i="184"/>
  <c r="IK44" i="184"/>
  <c r="CN49" i="184"/>
  <c r="CO49" i="184"/>
  <c r="HK38" i="184"/>
  <c r="CR49" i="184"/>
  <c r="HG38" i="184"/>
  <c r="HM38" i="184"/>
  <c r="HI38" i="184"/>
  <c r="CM49" i="184"/>
  <c r="HQ38" i="184"/>
  <c r="HO38" i="184"/>
  <c r="HS38" i="184"/>
  <c r="IJ44" i="184"/>
  <c r="IM44" i="184"/>
  <c r="GH53" i="184"/>
  <c r="GQ53" i="184"/>
  <c r="GS53" i="184"/>
  <c r="HZ44" i="184"/>
  <c r="ID44" i="184"/>
  <c r="IH44" i="184"/>
  <c r="IF44" i="184"/>
  <c r="IB44" i="184"/>
  <c r="FK58" i="184"/>
  <c r="FM58" i="184"/>
  <c r="FS58" i="184"/>
  <c r="FO58" i="184"/>
  <c r="FV58" i="184"/>
  <c r="GI53" i="184"/>
  <c r="HC32" i="184"/>
  <c r="IG44" i="184"/>
  <c r="CR27" i="184"/>
  <c r="HY44" i="184"/>
  <c r="DQ23" i="184"/>
  <c r="IC44" i="184"/>
  <c r="EP19" i="184"/>
  <c r="HF32" i="184"/>
  <c r="GU32" i="184"/>
  <c r="GW32" i="184"/>
  <c r="GY32" i="184"/>
  <c r="HA32" i="184"/>
  <c r="DO23" i="184"/>
  <c r="IA44" i="184"/>
  <c r="DS23" i="184"/>
  <c r="CM27" i="184"/>
  <c r="CV27" i="184"/>
  <c r="CW27" i="184"/>
  <c r="ER63" i="184"/>
  <c r="II44" i="184"/>
  <c r="HX44" i="184"/>
  <c r="CO27" i="184"/>
  <c r="CP27" i="184"/>
  <c r="IN44" i="184"/>
  <c r="DV23" i="184"/>
  <c r="DM23" i="184"/>
  <c r="ET63" i="184"/>
  <c r="EW63" i="184"/>
  <c r="EY63" i="184"/>
  <c r="EN63" i="184"/>
  <c r="EP63" i="184"/>
  <c r="GN53" i="184" l="1"/>
  <c r="GJ53" i="184"/>
  <c r="CL49" i="184"/>
  <c r="EM19" i="184"/>
  <c r="CS49" i="184"/>
  <c r="CI49" i="184"/>
  <c r="GR32" i="184"/>
  <c r="CG49" i="184"/>
  <c r="GT53" i="184"/>
  <c r="GM53" i="184"/>
  <c r="GL53" i="184"/>
  <c r="GK53" i="184"/>
  <c r="GO53" i="184"/>
  <c r="CH49" i="184"/>
  <c r="CK49" i="184"/>
  <c r="CJ49" i="184"/>
  <c r="GT32" i="184"/>
  <c r="EN19" i="184"/>
</calcChain>
</file>

<file path=xl/sharedStrings.xml><?xml version="1.0" encoding="utf-8"?>
<sst xmlns="http://schemas.openxmlformats.org/spreadsheetml/2006/main" count="522" uniqueCount="156">
  <si>
    <t>Jualan Kenderaan Bermotor</t>
  </si>
  <si>
    <t>Wholesale of Household Goods</t>
  </si>
  <si>
    <t>Wholesale on a Fee or Contract Basis</t>
  </si>
  <si>
    <t>Q2</t>
  </si>
  <si>
    <t>Q3</t>
  </si>
  <si>
    <t>Q4</t>
  </si>
  <si>
    <t>QoQ</t>
  </si>
  <si>
    <t>YoY</t>
  </si>
  <si>
    <t xml:space="preserve">Other Specialised Wholesale </t>
  </si>
  <si>
    <t xml:space="preserve">Jualan Runcit di Kedai Bukan Pengkhususan </t>
  </si>
  <si>
    <t>Perdagangan Borong Tanpa Pengkhususan</t>
  </si>
  <si>
    <t>Jualan Runcit Bukan di Kedai, Gerai atau Pasar</t>
  </si>
  <si>
    <t xml:space="preserve">Jualan Runcit di Kedai Khusus yang Menjual Bahan Api Kenderaan </t>
  </si>
  <si>
    <t xml:space="preserve">Jualan Runcit di Kedai Khusus yang Menjual Peralatan Lain Isi Rumah </t>
  </si>
  <si>
    <t>Jualan Borong Barangan Isi Rumah</t>
  </si>
  <si>
    <t>Retail Sale of Other Household Equipment in Specialised Stores</t>
  </si>
  <si>
    <t>AAAAAH0b9m4=</t>
  </si>
  <si>
    <t>AAAAAH0b9m8=</t>
  </si>
  <si>
    <t>AAAAAH0b9nA=</t>
  </si>
  <si>
    <t>AAAAAH0b9nE=</t>
  </si>
  <si>
    <t>Q1</t>
  </si>
  <si>
    <t>Non-specialised Wholesale Trade</t>
  </si>
  <si>
    <t>Motor Vehicles</t>
  </si>
  <si>
    <t xml:space="preserve">Retail Trade </t>
  </si>
  <si>
    <t>Perdagangan Borong &amp; Runcit</t>
  </si>
  <si>
    <t>Kenderaan Bermotor</t>
  </si>
  <si>
    <t>Perdagangan Borong</t>
  </si>
  <si>
    <t>Perdagangan Runcit</t>
  </si>
  <si>
    <t xml:space="preserve">Wholesale &amp; Retail Trade </t>
  </si>
  <si>
    <t xml:space="preserve">Wholesale Trade </t>
  </si>
  <si>
    <t xml:space="preserve"> Sub-sector</t>
  </si>
  <si>
    <t xml:space="preserve">Sale of Motor Vehicles  </t>
  </si>
  <si>
    <t>Lain-Lain Pengkhususan Jual Borong</t>
  </si>
  <si>
    <t xml:space="preserve">Jualan Runcit di Kedai Khusus yang Menjual Barangan Lain </t>
  </si>
  <si>
    <t>(2015=100)</t>
  </si>
  <si>
    <t>462*</t>
  </si>
  <si>
    <t>463*</t>
  </si>
  <si>
    <t>469*</t>
  </si>
  <si>
    <t>473*</t>
  </si>
  <si>
    <t>474*</t>
  </si>
  <si>
    <t>479*</t>
  </si>
  <si>
    <t xml:space="preserve">Q2 </t>
  </si>
  <si>
    <t>* Indeks volum pelarasan bermusim adalah sama dengan indeks asal kerana tiada corak bermusim dikesan pada siri data/</t>
  </si>
  <si>
    <t xml:space="preserve"> Seasonally adjusted volume index is the same as original index because no seasonal pattern is detected in the data series</t>
  </si>
  <si>
    <r>
      <rPr>
        <b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Data awalan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Preliminary data</t>
    </r>
  </si>
  <si>
    <r>
      <t>Q2</t>
    </r>
    <r>
      <rPr>
        <b/>
        <vertAlign val="superscript"/>
        <sz val="12"/>
        <rFont val="Arial"/>
        <family val="2"/>
      </rPr>
      <t>r</t>
    </r>
  </si>
  <si>
    <r>
      <t>Q1</t>
    </r>
    <r>
      <rPr>
        <b/>
        <vertAlign val="superscript"/>
        <sz val="12"/>
        <rFont val="Arial"/>
        <family val="2"/>
      </rPr>
      <t xml:space="preserve">r </t>
    </r>
  </si>
  <si>
    <t>% Perubahan /  % Changes (YoY)</t>
  </si>
  <si>
    <r>
      <rPr>
        <b/>
        <vertAlign val="super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Kemaskini dibuat berdasarkan data terkini yang diperoleh/ </t>
    </r>
    <r>
      <rPr>
        <i/>
        <sz val="10"/>
        <rFont val="Arial"/>
        <family val="2"/>
      </rPr>
      <t>Revisions made based on the latest data available</t>
    </r>
  </si>
  <si>
    <t>% Perubahan /  % Changes (QoQ)</t>
  </si>
  <si>
    <r>
      <t xml:space="preserve">* Indeks volum pelarasan bermusim adalah sama dengan indeks asal kerana tiada corak bermusim dikesan pada siri data/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</si>
  <si>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</si>
  <si>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 index is the same as original index because no seasonal pattern is detected in the data series</t>
    </r>
  </si>
  <si>
    <t>Sale of Motor Vehicles Parts &amp; Accessories</t>
  </si>
  <si>
    <t>Sale, Maintenance &amp; Repair of Motorcycles &amp; Related Parts &amp; Accessories</t>
  </si>
  <si>
    <t>Retail Sale of Information &amp; Communication Equipment in Specialised Stores</t>
  </si>
  <si>
    <t>Retail Sale of Cultural &amp; Recreation Goods in Specialised Stores</t>
  </si>
  <si>
    <t xml:space="preserve">Jualan Runcit di Kedai Khusus yang Menjual Barangan Kesenian  &amp; Rekreasi </t>
  </si>
  <si>
    <t>Jualan Runcit di Kedai Khusus yang Menjual Peralatan Komunikasi &amp; Maklumat</t>
  </si>
  <si>
    <t>Penyelenggaraan &amp; Pembaikan Kenderaan Bermotor</t>
  </si>
  <si>
    <t>Jualan Komponen &amp; Aksesori Kenderaan Bermotor</t>
  </si>
  <si>
    <t>Jualan, Penyelenggaraan &amp; Pembaikan Motosikal &amp; Komponen &amp; Aksesori Berkaitan</t>
  </si>
  <si>
    <t>Maintenance &amp; Repair of Motor Vehicles</t>
  </si>
  <si>
    <t>Jualan Borong Makanan, Minuman &amp; Tembakau</t>
  </si>
  <si>
    <t>Wholesale of Agricultural Raw Materials &amp; Live Animals</t>
  </si>
  <si>
    <t>Wholesale of Food, Beverages &amp; Tobacco</t>
  </si>
  <si>
    <t>Jualan Borong Jentera, Peralatan &amp; Bekalan</t>
  </si>
  <si>
    <t>Wholesale of Machinery, Equipment &amp; Supplies</t>
  </si>
  <si>
    <t xml:space="preserve">Jualan Runcit Makanan, Minuman &amp; Tembakau di Kedai Pengkhususan </t>
  </si>
  <si>
    <t>Jualan Runcit di Gerai &amp; Pasar</t>
  </si>
  <si>
    <t>Jadual 2 : Indeks Volum Perdagangan Borong &amp; Runcit mengikut Subsektor</t>
  </si>
  <si>
    <t>Table 2: Volume Index of Wholesale &amp; Retail Trade by Sub-sector</t>
  </si>
  <si>
    <t xml:space="preserve">Jadual 3 : Indeks Volum Kenderaan Bermotor </t>
  </si>
  <si>
    <t xml:space="preserve">Table 3 : Volume Index of Motor Vehicles </t>
  </si>
  <si>
    <t xml:space="preserve">Jadual 4 : Indeks Volum Perdagangan Borong </t>
  </si>
  <si>
    <t xml:space="preserve">Table 4 :  Volume Index of Wholesale Trade </t>
  </si>
  <si>
    <t>Jadual 5 : Indeks Volum Perdagangan Runcit</t>
  </si>
  <si>
    <t xml:space="preserve">Table 5 : Volume Index of Retail Trade  </t>
  </si>
  <si>
    <t xml:space="preserve">Jadual 5 (samb.): Indeks Volum Perdagangan Runcit </t>
  </si>
  <si>
    <t xml:space="preserve">Table 5 (cont'd): Volume Index of Retail Trade  </t>
  </si>
  <si>
    <t xml:space="preserve">Table 4 (cont'd):  Volume Index of Wholesale Trade </t>
  </si>
  <si>
    <t>Jadual 5 (samb.): Indeks Volum Perdagangan Runcit</t>
  </si>
  <si>
    <t xml:space="preserve">Q4 </t>
  </si>
  <si>
    <t xml:space="preserve"> </t>
  </si>
  <si>
    <t>Table 1 : Volume Index of Wholesale &amp; Retail Trade, First Quarter 2023</t>
  </si>
  <si>
    <t>Jadual 1 : Indeks Volum Perdagangan Borong &amp; Runcit, Suku Tahun Pertama 2023</t>
  </si>
  <si>
    <t xml:space="preserve">Q3 </t>
  </si>
  <si>
    <r>
      <t xml:space="preserve">Kod / </t>
    </r>
    <r>
      <rPr>
        <i/>
        <sz val="10"/>
        <color theme="1"/>
        <rFont val="Arial"/>
        <family val="2"/>
      </rPr>
      <t>Code</t>
    </r>
  </si>
  <si>
    <r>
      <t xml:space="preserve">Indeks </t>
    </r>
    <r>
      <rPr>
        <sz val="10"/>
        <rFont val="Arial"/>
        <family val="2"/>
      </rPr>
      <t>/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Index </t>
    </r>
  </si>
  <si>
    <r>
      <t xml:space="preserve">Wajaran** </t>
    </r>
    <r>
      <rPr>
        <i/>
        <sz val="10"/>
        <rFont val="Arial"/>
        <family val="2"/>
      </rPr>
      <t>Weight**</t>
    </r>
  </si>
  <si>
    <r>
      <t>Asal</t>
    </r>
    <r>
      <rPr>
        <b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 </t>
    </r>
    <r>
      <rPr>
        <i/>
        <sz val="10"/>
        <rFont val="Arial"/>
        <family val="2"/>
      </rPr>
      <t>Original</t>
    </r>
    <r>
      <rPr>
        <i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       </t>
    </r>
  </si>
  <si>
    <r>
      <t xml:space="preserve">% Perubahan / </t>
    </r>
    <r>
      <rPr>
        <i/>
        <sz val="10"/>
        <rFont val="Arial"/>
        <family val="2"/>
      </rPr>
      <t>Change</t>
    </r>
  </si>
  <si>
    <r>
      <t>Pelarasan Musim</t>
    </r>
    <r>
      <rPr>
        <b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 </t>
    </r>
    <r>
      <rPr>
        <i/>
        <sz val="10"/>
        <rFont val="Arial"/>
        <family val="2"/>
      </rPr>
      <t>Seasonally Adjusted</t>
    </r>
    <r>
      <rPr>
        <i/>
        <vertAlign val="superscript"/>
        <sz val="10"/>
        <rFont val="Arial"/>
        <family val="2"/>
      </rPr>
      <t>p</t>
    </r>
  </si>
  <si>
    <r>
      <t xml:space="preserve">% Perubahan  </t>
    </r>
    <r>
      <rPr>
        <i/>
        <sz val="10"/>
        <rFont val="Arial"/>
        <family val="2"/>
      </rPr>
      <t>Change</t>
    </r>
  </si>
  <si>
    <r>
      <t xml:space="preserve">PERDAGANGAN BORONG &amp; RUNCIT                                    
</t>
    </r>
    <r>
      <rPr>
        <i/>
        <sz val="11"/>
        <rFont val="Arial"/>
        <family val="2"/>
      </rPr>
      <t>WHOLESALE &amp; RETAIL TRADE</t>
    </r>
  </si>
  <si>
    <r>
      <t xml:space="preserve">Kenderaan Bermotor                                              
</t>
    </r>
    <r>
      <rPr>
        <i/>
        <sz val="10"/>
        <rFont val="Arial"/>
        <family val="2"/>
      </rPr>
      <t>Motor Vehicles</t>
    </r>
  </si>
  <si>
    <r>
      <t xml:space="preserve">Perdagangan Borong
</t>
    </r>
    <r>
      <rPr>
        <i/>
        <sz val="10"/>
        <rFont val="Arial"/>
        <family val="2"/>
      </rPr>
      <t>Wholesale Trade</t>
    </r>
  </si>
  <si>
    <r>
      <t xml:space="preserve">Perdagangan Runcit
</t>
    </r>
    <r>
      <rPr>
        <i/>
        <sz val="10"/>
        <rFont val="Arial"/>
        <family val="2"/>
      </rPr>
      <t xml:space="preserve">Retail Trade </t>
    </r>
  </si>
  <si>
    <r>
      <rPr>
        <b/>
        <sz val="10"/>
        <rFont val="Arial"/>
        <family val="2"/>
      </rPr>
      <t xml:space="preserve">Jualan Kenderaan Bermotor
</t>
    </r>
    <r>
      <rPr>
        <i/>
        <sz val="10"/>
        <rFont val="Arial"/>
        <family val="2"/>
      </rPr>
      <t xml:space="preserve">Sale of Motor Vehicles </t>
    </r>
  </si>
  <si>
    <r>
      <rPr>
        <b/>
        <sz val="10"/>
        <rFont val="Arial"/>
        <family val="2"/>
      </rPr>
      <t xml:space="preserve">Penyelenggaraan dan Pembaikan Kenderaan Bermotor
</t>
    </r>
    <r>
      <rPr>
        <i/>
        <sz val="10"/>
        <rFont val="Arial"/>
        <family val="2"/>
      </rPr>
      <t xml:space="preserve">Maintenance and Repair of Motor Vehicles </t>
    </r>
  </si>
  <si>
    <r>
      <rPr>
        <b/>
        <sz val="10"/>
        <rFont val="Arial"/>
        <family val="2"/>
      </rPr>
      <t xml:space="preserve">Jualan Komponen dan Aksesori Kenderaan Bermotor
</t>
    </r>
    <r>
      <rPr>
        <i/>
        <sz val="10"/>
        <rFont val="Arial"/>
        <family val="2"/>
      </rPr>
      <t xml:space="preserve">Sale of Motor Vehicles Parts and Accessories  </t>
    </r>
  </si>
  <si>
    <r>
      <rPr>
        <b/>
        <sz val="10"/>
        <rFont val="Arial"/>
        <family val="2"/>
      </rPr>
      <t xml:space="preserve">Jualan, Penyelenggaraan dan Pembaikan Motosikal dan Komponen dan Aksesori Berkaitan
</t>
    </r>
    <r>
      <rPr>
        <i/>
        <sz val="10"/>
        <rFont val="Arial"/>
        <family val="2"/>
      </rPr>
      <t xml:space="preserve">Sale, Maintenance and Repair of Motorcycles and Related Parts and Accessories </t>
    </r>
  </si>
  <si>
    <r>
      <rPr>
        <b/>
        <sz val="10"/>
        <rFont val="Arial"/>
        <family val="2"/>
      </rPr>
      <t xml:space="preserve">Jualan Borong Makanan, Minuman dan Tembakau
</t>
    </r>
    <r>
      <rPr>
        <i/>
        <sz val="10"/>
        <rFont val="Arial"/>
        <family val="2"/>
      </rPr>
      <t xml:space="preserve">Wholesale of Food, Beverages and Tobacco </t>
    </r>
  </si>
  <si>
    <r>
      <rPr>
        <b/>
        <sz val="10"/>
        <rFont val="Arial"/>
        <family val="2"/>
      </rPr>
      <t xml:space="preserve">Jualan Borong Barangan Isi Rumah
</t>
    </r>
    <r>
      <rPr>
        <i/>
        <sz val="10"/>
        <rFont val="Arial"/>
        <family val="2"/>
      </rPr>
      <t xml:space="preserve">Wholesale of Household Goods </t>
    </r>
  </si>
  <si>
    <r>
      <rPr>
        <b/>
        <sz val="10"/>
        <rFont val="Arial"/>
        <family val="2"/>
      </rPr>
      <t xml:space="preserve">Jualan Borong Jentera, Peralatan dan Bekalan
</t>
    </r>
    <r>
      <rPr>
        <i/>
        <sz val="10"/>
        <rFont val="Arial"/>
        <family val="2"/>
      </rPr>
      <t xml:space="preserve">Wholesale of Machinery, Equipment and Supplies  </t>
    </r>
  </si>
  <si>
    <r>
      <rPr>
        <b/>
        <sz val="10"/>
        <rFont val="Arial"/>
        <family val="2"/>
      </rPr>
      <t xml:space="preserve">Lain-lain Pengkhususan Jual Borong
</t>
    </r>
    <r>
      <rPr>
        <i/>
        <sz val="10"/>
        <rFont val="Arial"/>
        <family val="2"/>
      </rPr>
      <t xml:space="preserve">Other Specialised Wholesale  </t>
    </r>
  </si>
  <si>
    <r>
      <rPr>
        <b/>
        <sz val="10"/>
        <rFont val="Arial"/>
        <family val="2"/>
      </rPr>
      <t xml:space="preserve">Perdagangan Borong Tanpa Pengkhususan
</t>
    </r>
    <r>
      <rPr>
        <i/>
        <sz val="10"/>
        <rFont val="Arial"/>
        <family val="2"/>
      </rPr>
      <t xml:space="preserve">Non - specialised Wholesale Trade </t>
    </r>
    <r>
      <rPr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</si>
  <si>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 xml:space="preserve">Jualan Runcit di Kedai Bukan Pengkhususan
</t>
    </r>
    <r>
      <rPr>
        <i/>
        <sz val="10"/>
        <rFont val="Arial"/>
        <family val="2"/>
      </rPr>
      <t xml:space="preserve">Retail Sale in Non-specialised Stores </t>
    </r>
  </si>
  <si>
    <r>
      <rPr>
        <b/>
        <sz val="10"/>
        <rFont val="Arial"/>
        <family val="2"/>
      </rPr>
      <t xml:space="preserve">Jualan Runcit Makanan, Minuman dan Tembakau di Kedai Pengkhususan
</t>
    </r>
    <r>
      <rPr>
        <i/>
        <sz val="10"/>
        <rFont val="Arial"/>
        <family val="2"/>
      </rPr>
      <t xml:space="preserve">Retail Sale of Food, Beverages and Tobacco in Specialised Stores </t>
    </r>
  </si>
  <si>
    <r>
      <rPr>
        <b/>
        <sz val="10"/>
        <rFont val="Arial"/>
        <family val="2"/>
      </rPr>
      <t xml:space="preserve">Jualan Runcit di Kedai Khusus yang Menjual Bahan Api Kenderaan
</t>
    </r>
    <r>
      <rPr>
        <i/>
        <sz val="10"/>
        <rFont val="Arial"/>
        <family val="2"/>
      </rPr>
      <t xml:space="preserve">Retail Sale of Automotive Fuel in Specialised Stores </t>
    </r>
  </si>
  <si>
    <r>
      <rPr>
        <b/>
        <sz val="10"/>
        <rFont val="Arial"/>
        <family val="2"/>
      </rPr>
      <t xml:space="preserve">Jualan Runcit di Kedai Khusus yang Menjual Peralatan Komunikasi dan Maklumat
</t>
    </r>
    <r>
      <rPr>
        <i/>
        <sz val="10"/>
        <rFont val="Arial"/>
        <family val="2"/>
      </rPr>
      <t xml:space="preserve">Retail Sale of Information and Communications Equipment in Specialised Stores </t>
    </r>
  </si>
  <si>
    <r>
      <rPr>
        <b/>
        <sz val="10"/>
        <rFont val="Arial"/>
        <family val="2"/>
      </rPr>
      <t xml:space="preserve">Jualan Runcit di Kedai Khusus yang Menjual Peralatan Lain Isi Rumah
</t>
    </r>
    <r>
      <rPr>
        <i/>
        <sz val="10"/>
        <rFont val="Arial"/>
        <family val="2"/>
      </rPr>
      <t xml:space="preserve">Retail Sale of Other Household Equipment in Specialised Stores </t>
    </r>
  </si>
  <si>
    <r>
      <rPr>
        <b/>
        <sz val="10"/>
        <rFont val="Arial"/>
        <family val="2"/>
      </rPr>
      <t xml:space="preserve">Jualan Runcit di Kedai Khusus yang Menjual Barangan Kesenian  dan Rekreasi
</t>
    </r>
    <r>
      <rPr>
        <i/>
        <sz val="10"/>
        <rFont val="Arial"/>
        <family val="2"/>
      </rPr>
      <t xml:space="preserve">Retail Sale of Cultural and Recreation Goods in Specialised Stores </t>
    </r>
  </si>
  <si>
    <r>
      <rPr>
        <b/>
        <sz val="10"/>
        <rFont val="Arial"/>
        <family val="2"/>
      </rPr>
      <t xml:space="preserve">Jualan Runcit di Kedai Khusus yang Menjual Barang Lain
</t>
    </r>
    <r>
      <rPr>
        <i/>
        <sz val="10"/>
        <rFont val="Arial"/>
        <family val="2"/>
      </rPr>
      <t xml:space="preserve">Retail Sale of Other Goods in Specialised Stores </t>
    </r>
  </si>
  <si>
    <r>
      <rPr>
        <b/>
        <sz val="10"/>
        <rFont val="Arial"/>
        <family val="2"/>
      </rPr>
      <t xml:space="preserve">Jualan Runcit di Gerai dan Pasar
</t>
    </r>
    <r>
      <rPr>
        <i/>
        <sz val="10"/>
        <rFont val="Arial"/>
        <family val="2"/>
      </rPr>
      <t xml:space="preserve">Retail Sale via Stalls and Markets </t>
    </r>
  </si>
  <si>
    <r>
      <rPr>
        <b/>
        <sz val="10"/>
        <rFont val="Arial"/>
        <family val="2"/>
      </rPr>
      <t xml:space="preserve">Jualan Runcit Bukan di Kedai, Gerai atau Pasar
</t>
    </r>
    <r>
      <rPr>
        <i/>
        <sz val="10"/>
        <rFont val="Arial"/>
        <family val="2"/>
      </rPr>
      <t xml:space="preserve">Retail Trade Not in Stores, Stalls or Markets </t>
    </r>
  </si>
  <si>
    <r>
      <t xml:space="preserve">Asal                      </t>
    </r>
    <r>
      <rPr>
        <i/>
        <sz val="10"/>
        <rFont val="Arial"/>
        <family val="2"/>
      </rPr>
      <t xml:space="preserve">Original  </t>
    </r>
    <r>
      <rPr>
        <b/>
        <sz val="10"/>
        <rFont val="Arial"/>
        <family val="2"/>
      </rPr>
      <t xml:space="preserve">          </t>
    </r>
  </si>
  <si>
    <r>
      <t xml:space="preserve">Pelarasan Musim </t>
    </r>
    <r>
      <rPr>
        <i/>
        <sz val="10"/>
        <rFont val="Arial"/>
        <family val="2"/>
      </rPr>
      <t>Seasonally Adjusted</t>
    </r>
  </si>
  <si>
    <r>
      <t xml:space="preserve">Asal                     </t>
    </r>
    <r>
      <rPr>
        <i/>
        <sz val="10"/>
        <rFont val="Arial"/>
        <family val="2"/>
      </rPr>
      <t xml:space="preserve">Original  </t>
    </r>
    <r>
      <rPr>
        <b/>
        <sz val="10"/>
        <rFont val="Arial"/>
        <family val="2"/>
      </rPr>
      <t xml:space="preserve">          </t>
    </r>
  </si>
  <si>
    <r>
      <t xml:space="preserve">Asal                   
</t>
    </r>
    <r>
      <rPr>
        <i/>
        <sz val="10"/>
        <rFont val="Arial"/>
        <family val="2"/>
      </rPr>
      <t xml:space="preserve">Original  </t>
    </r>
    <r>
      <rPr>
        <b/>
        <sz val="10"/>
        <rFont val="Arial"/>
        <family val="2"/>
      </rPr>
      <t xml:space="preserve">          </t>
    </r>
  </si>
  <si>
    <r>
      <t>Q1</t>
    </r>
    <r>
      <rPr>
        <b/>
        <vertAlign val="superscript"/>
        <sz val="11"/>
        <rFont val="Arial"/>
        <family val="2"/>
      </rPr>
      <t xml:space="preserve"> </t>
    </r>
  </si>
  <si>
    <r>
      <t>Q3</t>
    </r>
    <r>
      <rPr>
        <b/>
        <vertAlign val="superscript"/>
        <sz val="11"/>
        <rFont val="Arial"/>
        <family val="2"/>
      </rPr>
      <t xml:space="preserve"> </t>
    </r>
  </si>
  <si>
    <r>
      <t>Q2</t>
    </r>
    <r>
      <rPr>
        <b/>
        <vertAlign val="superscript"/>
        <sz val="11"/>
        <rFont val="Arial"/>
        <family val="2"/>
      </rPr>
      <t xml:space="preserve"> </t>
    </r>
  </si>
  <si>
    <r>
      <t>Q4</t>
    </r>
    <r>
      <rPr>
        <b/>
        <vertAlign val="superscript"/>
        <sz val="11"/>
        <rFont val="Arial"/>
        <family val="2"/>
      </rPr>
      <t xml:space="preserve"> r</t>
    </r>
  </si>
  <si>
    <r>
      <t xml:space="preserve">Q1 </t>
    </r>
    <r>
      <rPr>
        <b/>
        <vertAlign val="superscript"/>
        <sz val="11"/>
        <rFont val="Arial"/>
        <family val="2"/>
      </rPr>
      <t>p</t>
    </r>
  </si>
  <si>
    <r>
      <t>Q4</t>
    </r>
    <r>
      <rPr>
        <b/>
        <vertAlign val="superscript"/>
        <sz val="11"/>
        <rFont val="Arial"/>
        <family val="2"/>
      </rPr>
      <t xml:space="preserve"> </t>
    </r>
  </si>
  <si>
    <r>
      <t xml:space="preserve">Tempoh </t>
    </r>
    <r>
      <rPr>
        <sz val="11"/>
        <rFont val="Arial"/>
        <family val="2"/>
      </rPr>
      <t xml:space="preserve">/ </t>
    </r>
    <r>
      <rPr>
        <i/>
        <sz val="11"/>
        <rFont val="Arial"/>
        <family val="2"/>
      </rPr>
      <t>Period</t>
    </r>
  </si>
  <si>
    <r>
      <rPr>
        <b/>
        <sz val="11"/>
        <rFont val="Arial"/>
        <family val="2"/>
      </rPr>
      <t>Wajaran</t>
    </r>
    <r>
      <rPr>
        <sz val="11"/>
        <rFont val="Arial"/>
        <family val="2"/>
      </rPr>
      <t xml:space="preserve"> / </t>
    </r>
    <r>
      <rPr>
        <i/>
        <sz val="11"/>
        <rFont val="Arial"/>
        <family val="2"/>
      </rPr>
      <t>Weight</t>
    </r>
  </si>
  <si>
    <r>
      <t xml:space="preserve">Asal                            
</t>
    </r>
    <r>
      <rPr>
        <i/>
        <sz val="10"/>
        <rFont val="Arial"/>
        <family val="2"/>
      </rPr>
      <t xml:space="preserve">Original  </t>
    </r>
    <r>
      <rPr>
        <b/>
        <sz val="10"/>
        <rFont val="Arial"/>
        <family val="2"/>
      </rPr>
      <t xml:space="preserve">          </t>
    </r>
  </si>
  <si>
    <r>
      <t xml:space="preserve">Asal  </t>
    </r>
    <r>
      <rPr>
        <i/>
        <sz val="10"/>
        <rFont val="Arial"/>
        <family val="2"/>
      </rPr>
      <t xml:space="preserve">Original  </t>
    </r>
    <r>
      <rPr>
        <b/>
        <sz val="10"/>
        <rFont val="Arial"/>
        <family val="2"/>
      </rPr>
      <t xml:space="preserve">          </t>
    </r>
  </si>
  <si>
    <r>
      <t xml:space="preserve">Asal </t>
    </r>
    <r>
      <rPr>
        <i/>
        <sz val="10"/>
        <rFont val="Arial"/>
        <family val="2"/>
      </rPr>
      <t xml:space="preserve">Original  </t>
    </r>
    <r>
      <rPr>
        <b/>
        <sz val="10"/>
        <rFont val="Arial"/>
        <family val="2"/>
      </rPr>
      <t xml:space="preserve">          </t>
    </r>
  </si>
  <si>
    <t xml:space="preserve">Jadual 4 (samb.): Indeks Volum Perdagangan Borong </t>
  </si>
  <si>
    <r>
      <t xml:space="preserve">Asal
</t>
    </r>
    <r>
      <rPr>
        <i/>
        <sz val="10"/>
        <rFont val="Arial"/>
        <family val="2"/>
      </rPr>
      <t xml:space="preserve">Original  </t>
    </r>
    <r>
      <rPr>
        <b/>
        <sz val="10"/>
        <rFont val="Arial"/>
        <family val="2"/>
      </rPr>
      <t xml:space="preserve">          </t>
    </r>
  </si>
  <si>
    <r>
      <t xml:space="preserve">Pelarasan Musim
</t>
    </r>
    <r>
      <rPr>
        <i/>
        <sz val="10"/>
        <rFont val="Arial"/>
        <family val="2"/>
      </rPr>
      <t>Seasonally Adjusted</t>
    </r>
  </si>
  <si>
    <r>
      <t xml:space="preserve">Asal                    </t>
    </r>
    <r>
      <rPr>
        <i/>
        <sz val="10"/>
        <rFont val="Arial"/>
        <family val="2"/>
      </rPr>
      <t xml:space="preserve">Original  </t>
    </r>
    <r>
      <rPr>
        <b/>
        <sz val="10"/>
        <rFont val="Arial"/>
        <family val="2"/>
      </rPr>
      <t xml:space="preserve">          </t>
    </r>
  </si>
  <si>
    <r>
      <t xml:space="preserve">Asal                              </t>
    </r>
    <r>
      <rPr>
        <i/>
        <sz val="10"/>
        <rFont val="Arial"/>
        <family val="2"/>
      </rPr>
      <t xml:space="preserve">Original  </t>
    </r>
    <r>
      <rPr>
        <b/>
        <sz val="10"/>
        <rFont val="Century Gothic"/>
        <family val="2"/>
      </rPr>
      <t xml:space="preserve">          </t>
    </r>
  </si>
  <si>
    <r>
      <t xml:space="preserve">Asal                              </t>
    </r>
    <r>
      <rPr>
        <i/>
        <sz val="10"/>
        <rFont val="Arial"/>
        <family val="2"/>
      </rPr>
      <t xml:space="preserve">Original  </t>
    </r>
    <r>
      <rPr>
        <b/>
        <sz val="10"/>
        <rFont val="Arial"/>
        <family val="2"/>
      </rPr>
      <t xml:space="preserve">          </t>
    </r>
  </si>
  <si>
    <t>Retail Sale of 
Other Goods in Specialised Stores</t>
  </si>
  <si>
    <t>Retail Sale
Via Stalls &amp; Markets</t>
  </si>
  <si>
    <t>Retail Trade Not in 
Stores, Stalls or Markets</t>
  </si>
  <si>
    <t>Retail Sale in
Non-specialised Stores</t>
  </si>
  <si>
    <t>Retail Sale of Automotive Fuel in
Specialised Stores</t>
  </si>
  <si>
    <t>Retail Sale of Food, 
Beverages &amp; Tobacco in Specialised Stores</t>
  </si>
  <si>
    <r>
      <rPr>
        <vertAlign val="superscript"/>
        <sz val="11.5"/>
        <rFont val="Arial"/>
        <family val="2"/>
      </rPr>
      <t>r</t>
    </r>
    <r>
      <rPr>
        <sz val="11.5"/>
        <rFont val="Arial"/>
        <family val="2"/>
      </rPr>
      <t xml:space="preserve"> </t>
    </r>
    <r>
      <rPr>
        <b/>
        <sz val="10"/>
        <rFont val="Arial"/>
        <family val="2"/>
      </rPr>
      <t>Kemaskini dibuat berdasarkan data terkini yang diperoleh</t>
    </r>
    <r>
      <rPr>
        <sz val="11.5"/>
        <rFont val="Arial"/>
        <family val="2"/>
      </rPr>
      <t>/</t>
    </r>
    <r>
      <rPr>
        <i/>
        <sz val="10"/>
        <rFont val="Arial"/>
        <family val="2"/>
      </rPr>
      <t xml:space="preserve"> Revisions made based on the latest data available</t>
    </r>
  </si>
  <si>
    <r>
      <t xml:space="preserve">Subsektor
</t>
    </r>
    <r>
      <rPr>
        <i/>
        <sz val="10"/>
        <color theme="1"/>
        <rFont val="Arial"/>
        <family val="2"/>
      </rPr>
      <t>Sub-sector</t>
    </r>
    <r>
      <rPr>
        <sz val="10"/>
        <color theme="1"/>
        <rFont val="Arial"/>
        <family val="2"/>
      </rPr>
      <t xml:space="preserve">  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             </t>
    </r>
  </si>
  <si>
    <r>
      <t xml:space="preserve">Subsektor
</t>
    </r>
    <r>
      <rPr>
        <i/>
        <sz val="10"/>
        <rFont val="Arial"/>
        <family val="2"/>
      </rPr>
      <t xml:space="preserve">Sub-sector </t>
    </r>
    <r>
      <rPr>
        <b/>
        <sz val="10"/>
        <rFont val="Arial"/>
        <family val="2"/>
      </rPr>
      <t xml:space="preserve">                                       </t>
    </r>
  </si>
  <si>
    <r>
      <t xml:space="preserve">Subsektor
</t>
    </r>
    <r>
      <rPr>
        <i/>
        <sz val="10"/>
        <rFont val="Arial"/>
        <family val="2"/>
      </rPr>
      <t xml:space="preserve">Sub-sector    </t>
    </r>
    <r>
      <rPr>
        <b/>
        <sz val="10"/>
        <rFont val="Arial"/>
        <family val="2"/>
      </rPr>
      <t xml:space="preserve">                                                      </t>
    </r>
  </si>
  <si>
    <r>
      <t xml:space="preserve">Subsektor
</t>
    </r>
    <r>
      <rPr>
        <i/>
        <sz val="10"/>
        <rFont val="Arial"/>
        <family val="2"/>
      </rPr>
      <t>Sub-sector</t>
    </r>
    <r>
      <rPr>
        <b/>
        <sz val="10"/>
        <rFont val="Arial"/>
        <family val="2"/>
      </rPr>
      <t xml:space="preserve">                                           </t>
    </r>
  </si>
  <si>
    <r>
      <t xml:space="preserve">Subsektor
</t>
    </r>
    <r>
      <rPr>
        <i/>
        <sz val="10"/>
        <rFont val="Arial"/>
        <family val="2"/>
      </rPr>
      <t>Sub-sector</t>
    </r>
    <r>
      <rPr>
        <b/>
        <sz val="10"/>
        <rFont val="Arial"/>
        <family val="2"/>
      </rPr>
      <t xml:space="preserve">                                                </t>
    </r>
  </si>
  <si>
    <t>**Bermula daripada suku tahun pertama 2023, wajaran yang digunapakai dalam pengiraan Indeks volum Perdagangan Borong &amp; Runcit adalah wajaran baru</t>
  </si>
  <si>
    <t xml:space="preserve"> yang diperoleh daripada Banci Perdagangan Borong &amp; Runcit 2019 (tahun rujukan 2018)</t>
  </si>
  <si>
    <t>Commencing in first quarter 2023, the weights used in the calculation of the Volume Index of Wholesale &amp; Retail Trade obtained from the Wholesale &amp; Retail Trade Census 2019 (reference year 2018)</t>
  </si>
  <si>
    <t>Jual Borong Berdasarkan Kontrak atau Yuran</t>
  </si>
  <si>
    <t>Jual Borong Bahan Mentah Pertanian &amp; Haiwan Hidup</t>
  </si>
  <si>
    <r>
      <rPr>
        <b/>
        <sz val="10"/>
        <rFont val="Arial"/>
        <family val="2"/>
      </rPr>
      <t xml:space="preserve">Jual Borong Berdasarkan Kontrak atau Yuran
</t>
    </r>
    <r>
      <rPr>
        <i/>
        <sz val="10"/>
        <rFont val="Arial"/>
        <family val="2"/>
      </rPr>
      <t xml:space="preserve">Wholesale on a Fee or Contract Basis </t>
    </r>
  </si>
  <si>
    <r>
      <rPr>
        <b/>
        <sz val="10"/>
        <rFont val="Arial"/>
        <family val="2"/>
      </rPr>
      <t xml:space="preserve">Jual Borong Bahan Mentah Pertanian dan Haiwan Hidup
</t>
    </r>
    <r>
      <rPr>
        <i/>
        <sz val="10"/>
        <rFont val="Arial"/>
        <family val="2"/>
      </rPr>
      <t xml:space="preserve">Wholesale of Agricultural Raw Materials and Live Animals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</si>
</sst>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"/>
    <numFmt numFmtId="166" formatCode="#,##0.000"/>
    <numFmt numFmtId="167" formatCode="#,##0.0"/>
    <numFmt numFmtId="168" formatCode="0.000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1.5"/>
      <name val="Arial"/>
      <family val="2"/>
    </font>
    <font>
      <sz val="13"/>
      <name val="Arial"/>
      <family val="2"/>
    </font>
    <font>
      <b/>
      <sz val="11.5"/>
      <name val="Arial"/>
      <family val="2"/>
    </font>
    <font>
      <sz val="12"/>
      <name val="Arial"/>
      <family val="2"/>
    </font>
    <font>
      <b/>
      <sz val="18"/>
      <color theme="9" tint="-0.499984740745262"/>
      <name val="Arial"/>
      <family val="2"/>
    </font>
    <font>
      <b/>
      <sz val="18"/>
      <name val="Arial"/>
      <family val="2"/>
    </font>
    <font>
      <sz val="12"/>
      <color theme="9" tint="-0.49998474074526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i/>
      <vertAlign val="superscript"/>
      <sz val="10"/>
      <name val="Arial"/>
      <family val="2"/>
    </font>
    <font>
      <b/>
      <i/>
      <sz val="10"/>
      <name val="Arial"/>
      <family val="2"/>
    </font>
    <font>
      <b/>
      <sz val="10"/>
      <name val="Century Gothic"/>
      <family val="2"/>
    </font>
    <font>
      <vertAlign val="superscript"/>
      <sz val="11.5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/>
      <top/>
      <bottom style="mediumDashed">
        <color theme="0" tint="-0.499984740745262"/>
      </bottom>
      <diagonal/>
    </border>
    <border>
      <left/>
      <right style="hair">
        <color indexed="64"/>
      </right>
      <top/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mediumDashed">
        <color theme="0" tint="-0.499984740745262"/>
      </bottom>
      <diagonal/>
    </border>
    <border>
      <left/>
      <right style="hair">
        <color theme="0" tint="-0.499984740745262"/>
      </right>
      <top/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indexed="64"/>
      </left>
      <right/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indexed="64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/>
      <diagonal/>
    </border>
    <border>
      <left style="hair">
        <color theme="0" tint="-0.499984740745262"/>
      </left>
      <right/>
      <top style="mediumDashed">
        <color theme="0" tint="-0.499984740745262"/>
      </top>
      <bottom/>
      <diagonal/>
    </border>
    <border>
      <left/>
      <right style="hair">
        <color theme="0" tint="-0.499984740745262"/>
      </right>
      <top style="mediumDashed">
        <color theme="0" tint="-0.499984740745262"/>
      </top>
      <bottom/>
      <diagonal/>
    </border>
    <border>
      <left/>
      <right/>
      <top style="mediumDashed">
        <color theme="0" tint="-0.34998626667073579"/>
      </top>
      <bottom/>
      <diagonal/>
    </border>
    <border>
      <left/>
      <right/>
      <top style="mediumDashed">
        <color theme="0" tint="-0.24994659260841701"/>
      </top>
      <bottom/>
      <diagonal/>
    </border>
    <border>
      <left/>
      <right/>
      <top/>
      <bottom style="mediumDashed">
        <color theme="0" tint="-0.34998626667073579"/>
      </bottom>
      <diagonal/>
    </border>
    <border>
      <left/>
      <right style="hair">
        <color theme="0" tint="-0.499984740745262"/>
      </right>
      <top/>
      <bottom style="mediumDashed">
        <color theme="0" tint="-0.34998626667073579"/>
      </bottom>
      <diagonal/>
    </border>
    <border>
      <left style="hair">
        <color indexed="64"/>
      </left>
      <right/>
      <top/>
      <bottom style="mediumDashed">
        <color theme="0" tint="-0.34998626667073579"/>
      </bottom>
      <diagonal/>
    </border>
    <border>
      <left/>
      <right style="hair">
        <color indexed="64"/>
      </right>
      <top/>
      <bottom style="mediumDashed">
        <color theme="0" tint="-0.34998626667073579"/>
      </bottom>
      <diagonal/>
    </border>
    <border>
      <left style="hair">
        <color theme="0" tint="-0.499984740745262"/>
      </left>
      <right/>
      <top/>
      <bottom style="mediumDashed">
        <color theme="0" tint="-0.24994659260841701"/>
      </bottom>
      <diagonal/>
    </border>
    <border>
      <left/>
      <right style="hair">
        <color theme="0" tint="-0.499984740745262"/>
      </right>
      <top/>
      <bottom style="mediumDashed">
        <color theme="0" tint="-0.24994659260841701"/>
      </bottom>
      <diagonal/>
    </border>
    <border>
      <left style="hair">
        <color theme="0" tint="-0.499984740745262"/>
      </left>
      <right/>
      <top/>
      <bottom style="mediumDashed">
        <color theme="0" tint="-0.34998626667073579"/>
      </bottom>
      <diagonal/>
    </border>
    <border>
      <left/>
      <right style="hair">
        <color theme="0" tint="-0.34998626667073579"/>
      </right>
      <top/>
      <bottom style="mediumDashed">
        <color theme="0" tint="-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mediumDashed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 style="mediumDashed">
        <color theme="0" tint="-0.499984740745262"/>
      </top>
      <bottom style="mediumDashed">
        <color theme="0" tint="-0.499984740745262"/>
      </bottom>
      <diagonal/>
    </border>
  </borders>
  <cellStyleXfs count="64">
    <xf numFmtId="0" fontId="0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06">
    <xf numFmtId="0" fontId="0" fillId="0" borderId="0" xfId="0"/>
    <xf numFmtId="164" fontId="0" fillId="0" borderId="0" xfId="63" applyFont="1"/>
    <xf numFmtId="0" fontId="4" fillId="0" borderId="0" xfId="54"/>
    <xf numFmtId="9" fontId="0" fillId="0" borderId="0" xfId="62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8" fillId="0" borderId="11" xfId="0" applyFont="1" applyBorder="1" applyAlignment="1">
      <alignment horizontal="center" vertical="center"/>
    </xf>
    <xf numFmtId="0" fontId="8" fillId="0" borderId="0" xfId="0" applyFont="1"/>
    <xf numFmtId="0" fontId="8" fillId="0" borderId="8" xfId="0" applyFont="1" applyBorder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 textRotation="18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 textRotation="180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 textRotation="180"/>
    </xf>
    <xf numFmtId="0" fontId="16" fillId="0" borderId="0" xfId="0" applyFont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0" fontId="12" fillId="0" borderId="0" xfId="0" applyFont="1"/>
    <xf numFmtId="0" fontId="20" fillId="0" borderId="0" xfId="0" applyFont="1"/>
    <xf numFmtId="0" fontId="21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0" fontId="7" fillId="0" borderId="0" xfId="0" quotePrefix="1" applyFont="1" applyAlignment="1">
      <alignment horizontal="right" vertical="center"/>
    </xf>
    <xf numFmtId="0" fontId="22" fillId="0" borderId="0" xfId="0" applyFont="1"/>
    <xf numFmtId="164" fontId="22" fillId="0" borderId="0" xfId="63" applyFont="1"/>
    <xf numFmtId="0" fontId="22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165" fontId="22" fillId="0" borderId="0" xfId="0" applyNumberFormat="1" applyFont="1"/>
    <xf numFmtId="0" fontId="16" fillId="0" borderId="0" xfId="0" applyFont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64" fontId="25" fillId="0" borderId="0" xfId="0" applyNumberFormat="1" applyFont="1"/>
    <xf numFmtId="0" fontId="16" fillId="0" borderId="0" xfId="0" applyFont="1" applyAlignment="1">
      <alignment horizontal="left" vertical="center"/>
    </xf>
    <xf numFmtId="164" fontId="22" fillId="0" borderId="0" xfId="0" applyNumberFormat="1" applyFont="1"/>
    <xf numFmtId="0" fontId="10" fillId="0" borderId="0" xfId="0" applyFont="1"/>
    <xf numFmtId="0" fontId="9" fillId="0" borderId="5" xfId="0" applyFont="1" applyBorder="1" applyAlignment="1">
      <alignment horizontal="center" vertical="center"/>
    </xf>
    <xf numFmtId="0" fontId="26" fillId="0" borderId="8" xfId="0" applyFont="1" applyBorder="1" applyAlignment="1">
      <alignment vertical="center"/>
    </xf>
    <xf numFmtId="165" fontId="27" fillId="0" borderId="9" xfId="0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165" fontId="22" fillId="0" borderId="3" xfId="0" applyNumberFormat="1" applyFont="1" applyBorder="1" applyAlignment="1">
      <alignment horizontal="center" vertical="center"/>
    </xf>
    <xf numFmtId="165" fontId="22" fillId="0" borderId="13" xfId="0" applyNumberFormat="1" applyFont="1" applyBorder="1" applyAlignment="1">
      <alignment horizontal="center" vertical="center"/>
    </xf>
    <xf numFmtId="165" fontId="22" fillId="0" borderId="16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165" fontId="22" fillId="0" borderId="14" xfId="0" applyNumberFormat="1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165" fontId="22" fillId="0" borderId="28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3" xfId="0" applyFont="1" applyBorder="1"/>
    <xf numFmtId="0" fontId="22" fillId="0" borderId="14" xfId="0" applyFont="1" applyBorder="1"/>
    <xf numFmtId="164" fontId="22" fillId="0" borderId="0" xfId="63" applyFont="1" applyFill="1"/>
    <xf numFmtId="164" fontId="12" fillId="0" borderId="0" xfId="63" applyFont="1" applyFill="1"/>
    <xf numFmtId="0" fontId="28" fillId="0" borderId="0" xfId="0" applyFont="1"/>
    <xf numFmtId="0" fontId="2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29" fillId="0" borderId="13" xfId="0" applyNumberFormat="1" applyFont="1" applyBorder="1" applyAlignment="1">
      <alignment horizontal="center" vertical="center"/>
    </xf>
    <xf numFmtId="165" fontId="29" fillId="0" borderId="1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/>
    </xf>
    <xf numFmtId="17" fontId="6" fillId="0" borderId="0" xfId="0" quotePrefix="1" applyNumberFormat="1" applyFont="1" applyAlignment="1">
      <alignment horizontal="right" vertical="center"/>
    </xf>
    <xf numFmtId="0" fontId="26" fillId="0" borderId="0" xfId="0" applyFont="1"/>
    <xf numFmtId="165" fontId="29" fillId="0" borderId="1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22" fillId="0" borderId="33" xfId="0" applyNumberFormat="1" applyFont="1" applyBorder="1" applyAlignment="1">
      <alignment horizontal="center" vertical="center"/>
    </xf>
    <xf numFmtId="165" fontId="29" fillId="0" borderId="15" xfId="0" applyNumberFormat="1" applyFont="1" applyBorder="1" applyAlignment="1">
      <alignment horizontal="center" vertical="center"/>
    </xf>
    <xf numFmtId="165" fontId="12" fillId="0" borderId="14" xfId="0" applyNumberFormat="1" applyFont="1" applyBorder="1" applyAlignment="1">
      <alignment horizontal="center" vertical="center"/>
    </xf>
    <xf numFmtId="165" fontId="12" fillId="0" borderId="28" xfId="0" applyNumberFormat="1" applyFont="1" applyBorder="1" applyAlignment="1">
      <alignment horizontal="center" vertical="center"/>
    </xf>
    <xf numFmtId="1" fontId="24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2" fillId="0" borderId="0" xfId="0" applyFont="1" applyBorder="1"/>
    <xf numFmtId="165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167" fontId="22" fillId="0" borderId="0" xfId="0" applyNumberFormat="1" applyFont="1"/>
    <xf numFmtId="166" fontId="22" fillId="0" borderId="0" xfId="0" applyNumberFormat="1" applyFont="1"/>
    <xf numFmtId="167" fontId="22" fillId="0" borderId="0" xfId="63" applyNumberFormat="1" applyFont="1" applyFill="1"/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9" fillId="0" borderId="0" xfId="0" applyFont="1"/>
    <xf numFmtId="0" fontId="6" fillId="0" borderId="0" xfId="0" applyFont="1" applyAlignment="1">
      <alignment horizontal="center" vertical="center" wrapText="1"/>
    </xf>
    <xf numFmtId="165" fontId="11" fillId="0" borderId="12" xfId="63" quotePrefix="1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1" fillId="0" borderId="1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165" fontId="11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center" vertical="center" wrapText="1"/>
    </xf>
    <xf numFmtId="165" fontId="11" fillId="0" borderId="2" xfId="0" quotePrefix="1" applyNumberFormat="1" applyFont="1" applyBorder="1" applyAlignment="1">
      <alignment horizontal="center" vertical="center" wrapText="1"/>
    </xf>
    <xf numFmtId="165" fontId="11" fillId="0" borderId="2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/>
    </xf>
    <xf numFmtId="165" fontId="12" fillId="0" borderId="2" xfId="62" applyNumberFormat="1" applyFont="1" applyBorder="1" applyAlignment="1">
      <alignment horizontal="center" vertical="center" wrapText="1"/>
    </xf>
    <xf numFmtId="0" fontId="12" fillId="0" borderId="13" xfId="0" applyFont="1" applyBorder="1"/>
    <xf numFmtId="0" fontId="12" fillId="0" borderId="14" xfId="0" applyFont="1" applyBorder="1"/>
    <xf numFmtId="165" fontId="12" fillId="0" borderId="13" xfId="0" applyNumberFormat="1" applyFont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2" fillId="0" borderId="33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6" fontId="12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/>
    <xf numFmtId="165" fontId="12" fillId="0" borderId="0" xfId="0" applyNumberFormat="1" applyFont="1"/>
    <xf numFmtId="0" fontId="11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0" xfId="0" applyFont="1" applyAlignment="1">
      <alignment horizontal="center"/>
    </xf>
    <xf numFmtId="165" fontId="12" fillId="0" borderId="31" xfId="0" applyNumberFormat="1" applyFont="1" applyBorder="1" applyAlignment="1">
      <alignment horizontal="center" vertical="center"/>
    </xf>
    <xf numFmtId="165" fontId="12" fillId="0" borderId="3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5" fontId="12" fillId="0" borderId="27" xfId="0" applyNumberFormat="1" applyFont="1" applyBorder="1" applyAlignment="1">
      <alignment horizontal="center" vertical="center"/>
    </xf>
    <xf numFmtId="165" fontId="12" fillId="0" borderId="30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165" fontId="12" fillId="0" borderId="37" xfId="0" applyNumberFormat="1" applyFont="1" applyBorder="1" applyAlignment="1">
      <alignment horizontal="center" vertical="center"/>
    </xf>
    <xf numFmtId="165" fontId="12" fillId="0" borderId="35" xfId="0" applyNumberFormat="1" applyFont="1" applyBorder="1" applyAlignment="1">
      <alignment horizontal="center" vertical="center"/>
    </xf>
    <xf numFmtId="165" fontId="12" fillId="0" borderId="36" xfId="0" applyNumberFormat="1" applyFont="1" applyBorder="1" applyAlignment="1">
      <alignment horizontal="center" vertical="center"/>
    </xf>
    <xf numFmtId="165" fontId="12" fillId="0" borderId="34" xfId="0" applyNumberFormat="1" applyFont="1" applyBorder="1" applyAlignment="1">
      <alignment horizontal="center" vertical="center"/>
    </xf>
    <xf numFmtId="165" fontId="12" fillId="0" borderId="29" xfId="0" applyNumberFormat="1" applyFont="1" applyBorder="1" applyAlignment="1">
      <alignment horizontal="center" vertical="center"/>
    </xf>
    <xf numFmtId="168" fontId="11" fillId="0" borderId="2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165" fontId="11" fillId="0" borderId="38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1" fillId="0" borderId="13" xfId="0" quotePrefix="1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5" fontId="11" fillId="0" borderId="22" xfId="0" applyNumberFormat="1" applyFont="1" applyBorder="1" applyAlignment="1">
      <alignment horizontal="center" vertical="center"/>
    </xf>
    <xf numFmtId="165" fontId="11" fillId="0" borderId="23" xfId="0" applyNumberFormat="1" applyFont="1" applyBorder="1" applyAlignment="1">
      <alignment horizontal="center" vertical="center"/>
    </xf>
    <xf numFmtId="165" fontId="11" fillId="0" borderId="24" xfId="0" applyNumberFormat="1" applyFont="1" applyBorder="1" applyAlignment="1">
      <alignment horizontal="center" vertical="center"/>
    </xf>
    <xf numFmtId="1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2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32" fillId="0" borderId="0" xfId="0" applyFont="1" applyAlignment="1">
      <alignment horizontal="center" vertical="top" wrapText="1"/>
    </xf>
  </cellXfs>
  <cellStyles count="64">
    <cellStyle name="Comma" xfId="63" builtinId="3"/>
    <cellStyle name="Comma 2" xfId="1" xr:uid="{00000000-0005-0000-0000-000001000000}"/>
    <cellStyle name="Comma 2 2" xfId="2" xr:uid="{00000000-0005-0000-0000-000002000000}"/>
    <cellStyle name="Comma 2 2 2" xfId="3" xr:uid="{00000000-0005-0000-0000-000003000000}"/>
    <cellStyle name="Comma 2 2 3" xfId="4" xr:uid="{00000000-0005-0000-0000-000004000000}"/>
    <cellStyle name="Comma 2 2 4" xfId="5" xr:uid="{00000000-0005-0000-0000-000005000000}"/>
    <cellStyle name="Comma 2 2 5" xfId="6" xr:uid="{00000000-0005-0000-0000-000006000000}"/>
    <cellStyle name="Comma 2 2 6" xfId="7" xr:uid="{00000000-0005-0000-0000-000007000000}"/>
    <cellStyle name="Comma 2 2 7" xfId="8" xr:uid="{00000000-0005-0000-0000-000008000000}"/>
    <cellStyle name="Comma 2 2 8" xfId="9" xr:uid="{00000000-0005-0000-0000-000009000000}"/>
    <cellStyle name="Comma 2 3" xfId="10" xr:uid="{00000000-0005-0000-0000-00000A000000}"/>
    <cellStyle name="Comma 2 4" xfId="11" xr:uid="{00000000-0005-0000-0000-00000B000000}"/>
    <cellStyle name="Comma 2 5" xfId="12" xr:uid="{00000000-0005-0000-0000-00000C000000}"/>
    <cellStyle name="Comma 2 6" xfId="13" xr:uid="{00000000-0005-0000-0000-00000D000000}"/>
    <cellStyle name="Comma 2 7" xfId="14" xr:uid="{00000000-0005-0000-0000-00000E000000}"/>
    <cellStyle name="Comma 2 8" xfId="15" xr:uid="{00000000-0005-0000-0000-00000F000000}"/>
    <cellStyle name="Comma 3" xfId="16" xr:uid="{00000000-0005-0000-0000-000010000000}"/>
    <cellStyle name="Comma 3 2" xfId="17" xr:uid="{00000000-0005-0000-0000-000011000000}"/>
    <cellStyle name="Comma 4" xfId="18" xr:uid="{00000000-0005-0000-0000-000012000000}"/>
    <cellStyle name="Comma 4 2" xfId="19" xr:uid="{00000000-0005-0000-0000-000013000000}"/>
    <cellStyle name="Comma 4 2 2" xfId="20" xr:uid="{00000000-0005-0000-0000-000014000000}"/>
    <cellStyle name="Comma 4 3" xfId="21" xr:uid="{00000000-0005-0000-0000-000015000000}"/>
    <cellStyle name="Comma 4 3 2" xfId="22" xr:uid="{00000000-0005-0000-0000-000016000000}"/>
    <cellStyle name="Comma 4 4" xfId="23" xr:uid="{00000000-0005-0000-0000-000017000000}"/>
    <cellStyle name="Comma 5" xfId="24" xr:uid="{00000000-0005-0000-0000-000018000000}"/>
    <cellStyle name="Comma 5 2" xfId="25" xr:uid="{00000000-0005-0000-0000-000019000000}"/>
    <cellStyle name="Comma 5 2 2" xfId="26" xr:uid="{00000000-0005-0000-0000-00001A000000}"/>
    <cellStyle name="Comma 5 3" xfId="27" xr:uid="{00000000-0005-0000-0000-00001B000000}"/>
    <cellStyle name="Comma 6" xfId="28" xr:uid="{00000000-0005-0000-0000-00001C000000}"/>
    <cellStyle name="Comma 7" xfId="29" xr:uid="{00000000-0005-0000-0000-00001D000000}"/>
    <cellStyle name="Comma 8" xfId="30" xr:uid="{00000000-0005-0000-0000-00001E000000}"/>
    <cellStyle name="Comma 9" xfId="31" xr:uid="{00000000-0005-0000-0000-00001F000000}"/>
    <cellStyle name="Normal" xfId="0" builtinId="0"/>
    <cellStyle name="Normal 10" xfId="32" xr:uid="{00000000-0005-0000-0000-000021000000}"/>
    <cellStyle name="Normal 10 2" xfId="33" xr:uid="{00000000-0005-0000-0000-000022000000}"/>
    <cellStyle name="Normal 11" xfId="34" xr:uid="{00000000-0005-0000-0000-000023000000}"/>
    <cellStyle name="Normal 2" xfId="35" xr:uid="{00000000-0005-0000-0000-000024000000}"/>
    <cellStyle name="Normal 2 10" xfId="36" xr:uid="{00000000-0005-0000-0000-000025000000}"/>
    <cellStyle name="Normal 2 2" xfId="37" xr:uid="{00000000-0005-0000-0000-000026000000}"/>
    <cellStyle name="Normal 2 2 2" xfId="38" xr:uid="{00000000-0005-0000-0000-000027000000}"/>
    <cellStyle name="Normal 2 3" xfId="39" xr:uid="{00000000-0005-0000-0000-000028000000}"/>
    <cellStyle name="Normal 2 4" xfId="40" xr:uid="{00000000-0005-0000-0000-000029000000}"/>
    <cellStyle name="Normal 2 5" xfId="41" xr:uid="{00000000-0005-0000-0000-00002A000000}"/>
    <cellStyle name="Normal 2 6" xfId="42" xr:uid="{00000000-0005-0000-0000-00002B000000}"/>
    <cellStyle name="Normal 2 7" xfId="43" xr:uid="{00000000-0005-0000-0000-00002C000000}"/>
    <cellStyle name="Normal 2 8" xfId="44" xr:uid="{00000000-0005-0000-0000-00002D000000}"/>
    <cellStyle name="Normal 3" xfId="45" xr:uid="{00000000-0005-0000-0000-00002E000000}"/>
    <cellStyle name="Normal 3 2" xfId="46" xr:uid="{00000000-0005-0000-0000-00002F000000}"/>
    <cellStyle name="Normal 4" xfId="47" xr:uid="{00000000-0005-0000-0000-000030000000}"/>
    <cellStyle name="Normal 4 2" xfId="48" xr:uid="{00000000-0005-0000-0000-000031000000}"/>
    <cellStyle name="Normal 5" xfId="49" xr:uid="{00000000-0005-0000-0000-000032000000}"/>
    <cellStyle name="Normal 5 2" xfId="50" xr:uid="{00000000-0005-0000-0000-000033000000}"/>
    <cellStyle name="Normal 6" xfId="51" xr:uid="{00000000-0005-0000-0000-000034000000}"/>
    <cellStyle name="Normal 6 2" xfId="52" xr:uid="{00000000-0005-0000-0000-000035000000}"/>
    <cellStyle name="Normal 6 3" xfId="53" xr:uid="{00000000-0005-0000-0000-000036000000}"/>
    <cellStyle name="Normal 6 3 2" xfId="54" xr:uid="{00000000-0005-0000-0000-000037000000}"/>
    <cellStyle name="Normal 7" xfId="55" xr:uid="{00000000-0005-0000-0000-000038000000}"/>
    <cellStyle name="Normal 7 2" xfId="56" xr:uid="{00000000-0005-0000-0000-000039000000}"/>
    <cellStyle name="Normal 8" xfId="57" xr:uid="{00000000-0005-0000-0000-00003A000000}"/>
    <cellStyle name="Normal 9" xfId="58" xr:uid="{00000000-0005-0000-0000-00003B000000}"/>
    <cellStyle name="Percent" xfId="62" builtinId="5"/>
    <cellStyle name="Percent 2" xfId="59" xr:uid="{00000000-0005-0000-0000-00003D000000}"/>
    <cellStyle name="Percent 2 2" xfId="60" xr:uid="{00000000-0005-0000-0000-00003E000000}"/>
    <cellStyle name="Percent 3" xfId="61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54"/>
  <sheetViews>
    <sheetView zoomScaleNormal="100" zoomScaleSheetLayoutView="70" workbookViewId="0">
      <pane ySplit="11" topLeftCell="A33" activePane="bottomLeft" state="frozen"/>
      <selection activeCell="E13" sqref="E13"/>
      <selection pane="bottomLeft" activeCell="K35" sqref="K35"/>
    </sheetView>
  </sheetViews>
  <sheetFormatPr defaultColWidth="9.140625" defaultRowHeight="12.75" x14ac:dyDescent="0.2"/>
  <cols>
    <col min="1" max="1" width="7.85546875" style="4" customWidth="1"/>
    <col min="2" max="2" width="1.28515625" style="4" customWidth="1"/>
    <col min="3" max="3" width="81.28515625" style="5" customWidth="1"/>
    <col min="4" max="4" width="11.7109375" style="6" customWidth="1"/>
    <col min="5" max="5" width="11.7109375" style="5" customWidth="1"/>
    <col min="6" max="7" width="10.7109375" style="5" customWidth="1"/>
    <col min="8" max="8" width="12.7109375" style="5" customWidth="1"/>
    <col min="9" max="9" width="13.7109375" style="5" customWidth="1"/>
    <col min="10" max="16384" width="9.140625" style="5"/>
  </cols>
  <sheetData>
    <row r="1" spans="1:9" ht="7.5" customHeight="1" x14ac:dyDescent="0.2"/>
    <row r="2" spans="1:9" ht="17.25" customHeight="1" x14ac:dyDescent="0.2"/>
    <row r="3" spans="1:9" s="96" customFormat="1" ht="18" customHeight="1" x14ac:dyDescent="0.2">
      <c r="A3" s="148" t="s">
        <v>85</v>
      </c>
      <c r="B3" s="148"/>
      <c r="C3" s="148"/>
      <c r="D3" s="148"/>
      <c r="E3" s="148"/>
      <c r="F3" s="148"/>
      <c r="G3" s="148"/>
      <c r="H3" s="148"/>
      <c r="I3" s="148"/>
    </row>
    <row r="4" spans="1:9" s="96" customFormat="1" ht="18" customHeight="1" x14ac:dyDescent="0.2">
      <c r="A4" s="147" t="s">
        <v>84</v>
      </c>
      <c r="B4" s="147"/>
      <c r="C4" s="147"/>
      <c r="D4" s="147"/>
      <c r="E4" s="147"/>
      <c r="F4" s="147"/>
      <c r="G4" s="147"/>
      <c r="H4" s="147"/>
      <c r="I4" s="147"/>
    </row>
    <row r="5" spans="1:9" s="96" customFormat="1" ht="15" customHeight="1" x14ac:dyDescent="0.2">
      <c r="A5" s="148" t="s">
        <v>34</v>
      </c>
      <c r="B5" s="148"/>
      <c r="C5" s="148"/>
      <c r="D5" s="148"/>
      <c r="E5" s="148"/>
      <c r="F5" s="148"/>
      <c r="G5" s="148"/>
      <c r="H5" s="148"/>
      <c r="I5" s="148"/>
    </row>
    <row r="6" spans="1:9" ht="23.25" customHeight="1" thickBot="1" x14ac:dyDescent="0.25">
      <c r="A6" s="5"/>
      <c r="B6" s="5"/>
      <c r="D6" s="5"/>
    </row>
    <row r="7" spans="1:9" ht="19.5" customHeight="1" x14ac:dyDescent="0.2">
      <c r="A7" s="149" t="s">
        <v>87</v>
      </c>
      <c r="B7" s="149"/>
      <c r="C7" s="149" t="s">
        <v>144</v>
      </c>
      <c r="D7" s="152" t="s">
        <v>88</v>
      </c>
      <c r="E7" s="152"/>
      <c r="F7" s="152"/>
      <c r="G7" s="152"/>
      <c r="H7" s="152"/>
      <c r="I7" s="152"/>
    </row>
    <row r="8" spans="1:9" ht="32.25" customHeight="1" x14ac:dyDescent="0.2">
      <c r="A8" s="150"/>
      <c r="B8" s="150"/>
      <c r="C8" s="150"/>
      <c r="D8" s="153" t="s">
        <v>89</v>
      </c>
      <c r="E8" s="153" t="s">
        <v>90</v>
      </c>
      <c r="F8" s="153" t="s">
        <v>91</v>
      </c>
      <c r="G8" s="153"/>
      <c r="H8" s="153" t="s">
        <v>92</v>
      </c>
      <c r="I8" s="97" t="s">
        <v>93</v>
      </c>
    </row>
    <row r="9" spans="1:9" ht="15" customHeight="1" x14ac:dyDescent="0.2">
      <c r="A9" s="150"/>
      <c r="B9" s="150"/>
      <c r="C9" s="150"/>
      <c r="D9" s="153"/>
      <c r="E9" s="153"/>
      <c r="F9" s="153" t="s">
        <v>6</v>
      </c>
      <c r="G9" s="153" t="s">
        <v>7</v>
      </c>
      <c r="H9" s="153"/>
      <c r="I9" s="153" t="s">
        <v>6</v>
      </c>
    </row>
    <row r="10" spans="1:9" ht="14.25" customHeight="1" x14ac:dyDescent="0.2">
      <c r="A10" s="150"/>
      <c r="B10" s="150"/>
      <c r="C10" s="150"/>
      <c r="D10" s="153"/>
      <c r="E10" s="153"/>
      <c r="F10" s="155"/>
      <c r="G10" s="155"/>
      <c r="H10" s="153"/>
      <c r="I10" s="155"/>
    </row>
    <row r="11" spans="1:9" ht="14.25" customHeight="1" thickBot="1" x14ac:dyDescent="0.25">
      <c r="A11" s="151"/>
      <c r="B11" s="151"/>
      <c r="C11" s="151"/>
      <c r="D11" s="154"/>
      <c r="E11" s="154"/>
      <c r="F11" s="156"/>
      <c r="G11" s="156"/>
      <c r="H11" s="154"/>
      <c r="I11" s="156"/>
    </row>
    <row r="12" spans="1:9" ht="46.5" customHeight="1" x14ac:dyDescent="0.2">
      <c r="A12" s="142" t="s">
        <v>94</v>
      </c>
      <c r="B12" s="142"/>
      <c r="C12" s="143"/>
      <c r="D12" s="98">
        <v>100</v>
      </c>
      <c r="E12" s="99">
        <v>147.4</v>
      </c>
      <c r="F12" s="99">
        <v>0.4</v>
      </c>
      <c r="G12" s="99">
        <v>9.5</v>
      </c>
      <c r="H12" s="100">
        <v>147.30000000000001</v>
      </c>
      <c r="I12" s="100">
        <v>3.6</v>
      </c>
    </row>
    <row r="13" spans="1:9" ht="42" customHeight="1" x14ac:dyDescent="0.2">
      <c r="A13" s="7">
        <v>45</v>
      </c>
      <c r="B13" s="144" t="s">
        <v>95</v>
      </c>
      <c r="C13" s="145"/>
      <c r="D13" s="104">
        <v>11</v>
      </c>
      <c r="E13" s="105">
        <v>128.1</v>
      </c>
      <c r="F13" s="104">
        <v>3.2</v>
      </c>
      <c r="G13" s="104">
        <v>11.4</v>
      </c>
      <c r="H13" s="104">
        <v>121.5</v>
      </c>
      <c r="I13" s="104">
        <v>7.2</v>
      </c>
    </row>
    <row r="14" spans="1:9" s="9" customFormat="1" ht="42" customHeight="1" x14ac:dyDescent="0.25">
      <c r="A14" s="7">
        <v>451</v>
      </c>
      <c r="B14" s="8"/>
      <c r="C14" s="101" t="s">
        <v>98</v>
      </c>
      <c r="D14" s="106">
        <v>5</v>
      </c>
      <c r="E14" s="106">
        <v>127.3</v>
      </c>
      <c r="F14" s="106">
        <v>-0.7</v>
      </c>
      <c r="G14" s="106">
        <v>13.7</v>
      </c>
      <c r="H14" s="106">
        <v>128.56461539820404</v>
      </c>
      <c r="I14" s="106">
        <v>3.8</v>
      </c>
    </row>
    <row r="15" spans="1:9" s="9" customFormat="1" ht="42" customHeight="1" x14ac:dyDescent="0.25">
      <c r="A15" s="7">
        <v>452</v>
      </c>
      <c r="B15" s="8"/>
      <c r="C15" s="101" t="s">
        <v>99</v>
      </c>
      <c r="D15" s="106">
        <v>1.9</v>
      </c>
      <c r="E15" s="106">
        <v>125.6</v>
      </c>
      <c r="F15" s="106">
        <v>4</v>
      </c>
      <c r="G15" s="106">
        <v>12.3</v>
      </c>
      <c r="H15" s="106">
        <v>127.86353812767193</v>
      </c>
      <c r="I15" s="106">
        <v>11.9</v>
      </c>
    </row>
    <row r="16" spans="1:9" s="9" customFormat="1" ht="42" customHeight="1" x14ac:dyDescent="0.25">
      <c r="A16" s="7">
        <v>453</v>
      </c>
      <c r="B16" s="8"/>
      <c r="C16" s="101" t="s">
        <v>100</v>
      </c>
      <c r="D16" s="106">
        <v>3</v>
      </c>
      <c r="E16" s="106">
        <v>146.80000000000001</v>
      </c>
      <c r="F16" s="106">
        <v>4.0999999999999996</v>
      </c>
      <c r="G16" s="106">
        <v>12.4</v>
      </c>
      <c r="H16" s="106">
        <v>140.12085294396707</v>
      </c>
      <c r="I16" s="106">
        <v>7</v>
      </c>
    </row>
    <row r="17" spans="1:9" s="9" customFormat="1" ht="42" customHeight="1" x14ac:dyDescent="0.25">
      <c r="A17" s="10">
        <v>454</v>
      </c>
      <c r="B17" s="102"/>
      <c r="C17" s="103" t="s">
        <v>101</v>
      </c>
      <c r="D17" s="107">
        <v>1.1000000000000001</v>
      </c>
      <c r="E17" s="107">
        <v>100.6</v>
      </c>
      <c r="F17" s="107">
        <v>7.1</v>
      </c>
      <c r="G17" s="107">
        <v>-4.5999999999999996</v>
      </c>
      <c r="H17" s="107">
        <v>100.72853633395277</v>
      </c>
      <c r="I17" s="107">
        <v>19.2</v>
      </c>
    </row>
    <row r="18" spans="1:9" s="9" customFormat="1" ht="42" customHeight="1" x14ac:dyDescent="0.25">
      <c r="A18" s="7">
        <v>46</v>
      </c>
      <c r="B18" s="144" t="s">
        <v>96</v>
      </c>
      <c r="C18" s="145"/>
      <c r="D18" s="104">
        <v>44</v>
      </c>
      <c r="E18" s="108">
        <v>133.9</v>
      </c>
      <c r="F18" s="108">
        <v>1.1000000000000001</v>
      </c>
      <c r="G18" s="108">
        <v>3.5</v>
      </c>
      <c r="H18" s="109">
        <v>134.9</v>
      </c>
      <c r="I18" s="109">
        <v>5.4</v>
      </c>
    </row>
    <row r="19" spans="1:9" s="11" customFormat="1" ht="42" customHeight="1" x14ac:dyDescent="0.2">
      <c r="A19" s="7">
        <v>461</v>
      </c>
      <c r="B19" s="8"/>
      <c r="C19" s="101" t="s">
        <v>154</v>
      </c>
      <c r="D19" s="106">
        <v>2.4</v>
      </c>
      <c r="E19" s="106">
        <v>117.9</v>
      </c>
      <c r="F19" s="106">
        <v>0.6</v>
      </c>
      <c r="G19" s="106">
        <v>8.1</v>
      </c>
      <c r="H19" s="106">
        <v>122.6</v>
      </c>
      <c r="I19" s="106">
        <v>6.3</v>
      </c>
    </row>
    <row r="20" spans="1:9" ht="42" customHeight="1" x14ac:dyDescent="0.2">
      <c r="A20" s="7" t="s">
        <v>35</v>
      </c>
      <c r="B20" s="8"/>
      <c r="C20" s="101" t="s">
        <v>155</v>
      </c>
      <c r="D20" s="106">
        <v>2.1</v>
      </c>
      <c r="E20" s="110">
        <v>135.69999999999999</v>
      </c>
      <c r="F20" s="106">
        <v>0.8</v>
      </c>
      <c r="G20" s="106">
        <v>11.4</v>
      </c>
      <c r="H20" s="110">
        <v>135.69999999999999</v>
      </c>
      <c r="I20" s="110">
        <v>0.8</v>
      </c>
    </row>
    <row r="21" spans="1:9" s="9" customFormat="1" ht="42" customHeight="1" x14ac:dyDescent="0.25">
      <c r="A21" s="7" t="s">
        <v>36</v>
      </c>
      <c r="B21" s="8"/>
      <c r="C21" s="101" t="s">
        <v>102</v>
      </c>
      <c r="D21" s="106">
        <v>7.4</v>
      </c>
      <c r="E21" s="106">
        <v>151.9</v>
      </c>
      <c r="F21" s="106">
        <v>2.2000000000000002</v>
      </c>
      <c r="G21" s="106">
        <v>9.1</v>
      </c>
      <c r="H21" s="106">
        <v>151.9</v>
      </c>
      <c r="I21" s="106">
        <v>2.2000000000000002</v>
      </c>
    </row>
    <row r="22" spans="1:9" s="9" customFormat="1" ht="42" customHeight="1" x14ac:dyDescent="0.25">
      <c r="A22" s="7">
        <v>464</v>
      </c>
      <c r="B22" s="8"/>
      <c r="C22" s="101" t="s">
        <v>103</v>
      </c>
      <c r="D22" s="106">
        <v>9.3000000000000007</v>
      </c>
      <c r="E22" s="106">
        <v>149.19999999999999</v>
      </c>
      <c r="F22" s="106">
        <v>1.6</v>
      </c>
      <c r="G22" s="106">
        <v>10.3</v>
      </c>
      <c r="H22" s="106">
        <v>149.9</v>
      </c>
      <c r="I22" s="106">
        <v>6.4</v>
      </c>
    </row>
    <row r="23" spans="1:9" s="9" customFormat="1" ht="42" customHeight="1" x14ac:dyDescent="0.25">
      <c r="A23" s="7">
        <v>465</v>
      </c>
      <c r="B23" s="8"/>
      <c r="C23" s="101" t="s">
        <v>104</v>
      </c>
      <c r="D23" s="106">
        <v>5.4</v>
      </c>
      <c r="E23" s="106">
        <v>120.2</v>
      </c>
      <c r="F23" s="106">
        <v>-1.5</v>
      </c>
      <c r="G23" s="106">
        <v>-1.8</v>
      </c>
      <c r="H23" s="106">
        <v>122.7</v>
      </c>
      <c r="I23" s="106">
        <v>6</v>
      </c>
    </row>
    <row r="24" spans="1:9" s="9" customFormat="1" ht="42" customHeight="1" x14ac:dyDescent="0.25">
      <c r="A24" s="7">
        <v>466</v>
      </c>
      <c r="B24" s="8"/>
      <c r="C24" s="101" t="s">
        <v>105</v>
      </c>
      <c r="D24" s="106">
        <v>15.9</v>
      </c>
      <c r="E24" s="106">
        <v>122.3</v>
      </c>
      <c r="F24" s="106">
        <v>0.3</v>
      </c>
      <c r="G24" s="106">
        <v>-4.9000000000000004</v>
      </c>
      <c r="H24" s="106">
        <v>123.5</v>
      </c>
      <c r="I24" s="106">
        <v>7.6</v>
      </c>
    </row>
    <row r="25" spans="1:9" s="9" customFormat="1" ht="42" customHeight="1" x14ac:dyDescent="0.25">
      <c r="A25" s="10" t="s">
        <v>37</v>
      </c>
      <c r="B25" s="102"/>
      <c r="C25" s="103" t="s">
        <v>106</v>
      </c>
      <c r="D25" s="107">
        <v>1.4</v>
      </c>
      <c r="E25" s="107">
        <v>133.69999999999999</v>
      </c>
      <c r="F25" s="107">
        <v>0.2</v>
      </c>
      <c r="G25" s="107">
        <v>3.7</v>
      </c>
      <c r="H25" s="107">
        <v>133.69999999999999</v>
      </c>
      <c r="I25" s="107">
        <v>0.2</v>
      </c>
    </row>
    <row r="26" spans="1:9" s="9" customFormat="1" ht="42" customHeight="1" x14ac:dyDescent="0.25">
      <c r="A26" s="7">
        <v>47</v>
      </c>
      <c r="B26" s="144" t="s">
        <v>97</v>
      </c>
      <c r="C26" s="145"/>
      <c r="D26" s="104">
        <v>45</v>
      </c>
      <c r="E26" s="109">
        <v>168.8</v>
      </c>
      <c r="F26" s="109">
        <v>-0.8</v>
      </c>
      <c r="G26" s="109">
        <v>14.7</v>
      </c>
      <c r="H26" s="109">
        <v>167.1</v>
      </c>
      <c r="I26" s="140">
        <v>-2E-3</v>
      </c>
    </row>
    <row r="27" spans="1:9" s="9" customFormat="1" ht="42" customHeight="1" x14ac:dyDescent="0.25">
      <c r="A27" s="7">
        <v>471</v>
      </c>
      <c r="B27" s="8"/>
      <c r="C27" s="101" t="s">
        <v>107</v>
      </c>
      <c r="D27" s="106">
        <v>12</v>
      </c>
      <c r="E27" s="106">
        <v>189.2</v>
      </c>
      <c r="F27" s="106">
        <v>1.9</v>
      </c>
      <c r="G27" s="106">
        <v>18.8</v>
      </c>
      <c r="H27" s="106">
        <v>187.8</v>
      </c>
      <c r="I27" s="106">
        <v>2.1</v>
      </c>
    </row>
    <row r="28" spans="1:9" s="9" customFormat="1" ht="42" customHeight="1" x14ac:dyDescent="0.25">
      <c r="A28" s="7">
        <v>472</v>
      </c>
      <c r="B28" s="8"/>
      <c r="C28" s="101" t="s">
        <v>108</v>
      </c>
      <c r="D28" s="106">
        <v>3</v>
      </c>
      <c r="E28" s="106">
        <v>182.5</v>
      </c>
      <c r="F28" s="106">
        <v>3.2</v>
      </c>
      <c r="G28" s="106">
        <v>13.1</v>
      </c>
      <c r="H28" s="106">
        <v>181.9</v>
      </c>
      <c r="I28" s="111">
        <v>3.1</v>
      </c>
    </row>
    <row r="29" spans="1:9" s="9" customFormat="1" ht="42" customHeight="1" x14ac:dyDescent="0.25">
      <c r="A29" s="7" t="s">
        <v>38</v>
      </c>
      <c r="B29" s="8"/>
      <c r="C29" s="101" t="s">
        <v>109</v>
      </c>
      <c r="D29" s="106">
        <v>1.8</v>
      </c>
      <c r="E29" s="106">
        <v>198.8</v>
      </c>
      <c r="F29" s="106">
        <v>3.1</v>
      </c>
      <c r="G29" s="106">
        <v>40</v>
      </c>
      <c r="H29" s="106">
        <v>198.8</v>
      </c>
      <c r="I29" s="106">
        <v>3.1</v>
      </c>
    </row>
    <row r="30" spans="1:9" s="9" customFormat="1" ht="42" customHeight="1" x14ac:dyDescent="0.25">
      <c r="A30" s="7" t="s">
        <v>39</v>
      </c>
      <c r="B30" s="8"/>
      <c r="C30" s="101" t="s">
        <v>110</v>
      </c>
      <c r="D30" s="106">
        <v>5.0999999999999996</v>
      </c>
      <c r="E30" s="106">
        <v>160.4</v>
      </c>
      <c r="F30" s="106">
        <v>-0.9</v>
      </c>
      <c r="G30" s="106">
        <v>5.5</v>
      </c>
      <c r="H30" s="106">
        <v>160.4</v>
      </c>
      <c r="I30" s="106">
        <v>-0.9</v>
      </c>
    </row>
    <row r="31" spans="1:9" s="9" customFormat="1" ht="42" customHeight="1" x14ac:dyDescent="0.25">
      <c r="A31" s="7">
        <v>475</v>
      </c>
      <c r="B31" s="8"/>
      <c r="C31" s="101" t="s">
        <v>111</v>
      </c>
      <c r="D31" s="106">
        <v>7.5</v>
      </c>
      <c r="E31" s="106">
        <v>134.4</v>
      </c>
      <c r="F31" s="106">
        <v>-2.2999999999999998</v>
      </c>
      <c r="G31" s="106">
        <v>7.2</v>
      </c>
      <c r="H31" s="106">
        <v>135.4</v>
      </c>
      <c r="I31" s="111">
        <v>2.8</v>
      </c>
    </row>
    <row r="32" spans="1:9" s="9" customFormat="1" ht="42" customHeight="1" x14ac:dyDescent="0.25">
      <c r="A32" s="7">
        <v>476</v>
      </c>
      <c r="B32" s="8"/>
      <c r="C32" s="101" t="s">
        <v>112</v>
      </c>
      <c r="D32" s="106">
        <v>3.1</v>
      </c>
      <c r="E32" s="106">
        <v>142.1</v>
      </c>
      <c r="F32" s="106">
        <v>-3.4</v>
      </c>
      <c r="G32" s="106">
        <v>-2.9</v>
      </c>
      <c r="H32" s="106">
        <v>133.80000000000001</v>
      </c>
      <c r="I32" s="106">
        <v>-4</v>
      </c>
    </row>
    <row r="33" spans="1:9" s="9" customFormat="1" ht="42" customHeight="1" x14ac:dyDescent="0.25">
      <c r="A33" s="7">
        <v>477</v>
      </c>
      <c r="B33" s="8"/>
      <c r="C33" s="101" t="s">
        <v>113</v>
      </c>
      <c r="D33" s="106">
        <v>11.9</v>
      </c>
      <c r="E33" s="106">
        <v>175.3</v>
      </c>
      <c r="F33" s="106">
        <v>-2.6</v>
      </c>
      <c r="G33" s="106">
        <v>22.9</v>
      </c>
      <c r="H33" s="106">
        <v>176</v>
      </c>
      <c r="I33" s="106">
        <v>1.6</v>
      </c>
    </row>
    <row r="34" spans="1:9" s="9" customFormat="1" ht="42" customHeight="1" x14ac:dyDescent="0.25">
      <c r="A34" s="7">
        <v>478</v>
      </c>
      <c r="B34" s="8"/>
      <c r="C34" s="101" t="s">
        <v>114</v>
      </c>
      <c r="D34" s="106">
        <v>0.1</v>
      </c>
      <c r="E34" s="106">
        <v>186.3</v>
      </c>
      <c r="F34" s="106">
        <v>0.5</v>
      </c>
      <c r="G34" s="106">
        <v>18.8</v>
      </c>
      <c r="H34" s="106">
        <v>183.4</v>
      </c>
      <c r="I34" s="106">
        <v>0.5</v>
      </c>
    </row>
    <row r="35" spans="1:9" s="9" customFormat="1" ht="42" customHeight="1" x14ac:dyDescent="0.25">
      <c r="A35" s="7" t="s">
        <v>40</v>
      </c>
      <c r="B35" s="8"/>
      <c r="C35" s="101" t="s">
        <v>115</v>
      </c>
      <c r="D35" s="106">
        <v>0.6</v>
      </c>
      <c r="E35" s="106">
        <v>202.2</v>
      </c>
      <c r="F35" s="106">
        <v>-2.7</v>
      </c>
      <c r="G35" s="106">
        <v>10.3</v>
      </c>
      <c r="H35" s="106">
        <v>202.2</v>
      </c>
      <c r="I35" s="106">
        <v>-2.7</v>
      </c>
    </row>
    <row r="36" spans="1:9" ht="9.75" customHeight="1" thickBot="1" x14ac:dyDescent="0.25">
      <c r="A36" s="12"/>
      <c r="B36" s="44"/>
      <c r="C36" s="45"/>
      <c r="D36" s="46"/>
      <c r="E36" s="47"/>
      <c r="F36" s="47"/>
      <c r="G36" s="48"/>
      <c r="H36" s="47"/>
      <c r="I36" s="48"/>
    </row>
    <row r="37" spans="1:9" ht="19.5" customHeight="1" x14ac:dyDescent="0.2">
      <c r="A37" s="13" t="s">
        <v>44</v>
      </c>
      <c r="B37" s="14"/>
      <c r="D37" s="15"/>
      <c r="E37" s="13"/>
      <c r="F37" s="13"/>
      <c r="G37" s="13"/>
      <c r="H37" s="13"/>
      <c r="I37" s="13"/>
    </row>
    <row r="38" spans="1:9" ht="19.5" customHeight="1" x14ac:dyDescent="0.2">
      <c r="A38" s="16" t="s">
        <v>42</v>
      </c>
      <c r="B38" s="8"/>
      <c r="D38" s="16"/>
      <c r="E38" s="16"/>
      <c r="F38" s="16"/>
      <c r="G38" s="16"/>
      <c r="H38" s="16"/>
      <c r="I38" s="16"/>
    </row>
    <row r="39" spans="1:9" ht="19.5" customHeight="1" x14ac:dyDescent="0.2">
      <c r="A39" s="17" t="s">
        <v>43</v>
      </c>
      <c r="B39" s="8"/>
      <c r="D39" s="16"/>
      <c r="E39" s="16"/>
      <c r="F39" s="16"/>
      <c r="G39" s="16"/>
      <c r="H39" s="16"/>
      <c r="I39" s="16"/>
    </row>
    <row r="40" spans="1:9" ht="19.5" customHeight="1" x14ac:dyDescent="0.2">
      <c r="A40" s="18" t="s">
        <v>149</v>
      </c>
      <c r="B40" s="8"/>
    </row>
    <row r="41" spans="1:9" ht="19.5" customHeight="1" x14ac:dyDescent="0.2">
      <c r="A41" s="18" t="s">
        <v>150</v>
      </c>
      <c r="B41" s="8"/>
    </row>
    <row r="42" spans="1:9" ht="19.5" customHeight="1" x14ac:dyDescent="0.2">
      <c r="A42" s="19" t="s">
        <v>151</v>
      </c>
      <c r="B42" s="8"/>
    </row>
    <row r="43" spans="1:9" ht="14.25" hidden="1" customHeight="1" thickBot="1" x14ac:dyDescent="0.25">
      <c r="A43" s="20"/>
      <c r="B43" s="21"/>
    </row>
    <row r="44" spans="1:9" ht="13.5" hidden="1" customHeight="1" x14ac:dyDescent="0.2">
      <c r="A44" s="20"/>
      <c r="B44" s="20"/>
    </row>
    <row r="45" spans="1:9" hidden="1" x14ac:dyDescent="0.2">
      <c r="A45" s="20"/>
      <c r="B45" s="20"/>
    </row>
    <row r="46" spans="1:9" ht="22.5" hidden="1" x14ac:dyDescent="0.2">
      <c r="A46" s="20"/>
      <c r="B46" s="22" t="s">
        <v>5</v>
      </c>
    </row>
    <row r="47" spans="1:9" hidden="1" x14ac:dyDescent="0.2"/>
    <row r="48" spans="1:9" ht="15.75" hidden="1" x14ac:dyDescent="0.25">
      <c r="B48" s="23" t="s">
        <v>20</v>
      </c>
    </row>
    <row r="49" spans="1:9" ht="18.75" hidden="1" x14ac:dyDescent="0.25">
      <c r="B49" s="23" t="s">
        <v>45</v>
      </c>
    </row>
    <row r="50" spans="1:9" ht="18.75" hidden="1" x14ac:dyDescent="0.25">
      <c r="B50" s="23" t="s">
        <v>46</v>
      </c>
    </row>
    <row r="51" spans="1:9" hidden="1" x14ac:dyDescent="0.2"/>
    <row r="54" spans="1:9" ht="14.25" x14ac:dyDescent="0.2">
      <c r="A54" s="146"/>
      <c r="B54" s="146"/>
      <c r="C54" s="146"/>
      <c r="D54" s="146"/>
      <c r="E54" s="146"/>
      <c r="F54" s="146"/>
      <c r="G54" s="146"/>
      <c r="H54" s="146"/>
      <c r="I54" s="146"/>
    </row>
  </sheetData>
  <sheetProtection algorithmName="SHA-512" hashValue="RkZwiPAiyBDx7q7e3jl95hgMg3pXepj+y6TjvbcTcLLlQoPhddaOj1vWo9Dwi0oUMJghFvgBmfTBuMUivFogpQ==" saltValue="ti7Ru1WCPpGEBGBc+L/yUg==" spinCount="100000" sheet="1" objects="1" scenarios="1"/>
  <mergeCells count="18">
    <mergeCell ref="A4:I4"/>
    <mergeCell ref="A3:I3"/>
    <mergeCell ref="A5:I5"/>
    <mergeCell ref="A7:B11"/>
    <mergeCell ref="C7:C11"/>
    <mergeCell ref="D7:I7"/>
    <mergeCell ref="D8:D11"/>
    <mergeCell ref="E8:E11"/>
    <mergeCell ref="F8:G8"/>
    <mergeCell ref="H8:H11"/>
    <mergeCell ref="F9:F11"/>
    <mergeCell ref="G9:G11"/>
    <mergeCell ref="I9:I11"/>
    <mergeCell ref="A12:C12"/>
    <mergeCell ref="B13:C13"/>
    <mergeCell ref="B18:C18"/>
    <mergeCell ref="B26:C26"/>
    <mergeCell ref="A54:I54"/>
  </mergeCells>
  <printOptions horizontalCentered="1"/>
  <pageMargins left="0" right="0" top="0.15748031496062992" bottom="0" header="0.31496062992125984" footer="0.31496062992125984"/>
  <pageSetup paperSize="9" scale="56" orientation="portrait" r:id="rId1"/>
  <headerFooter scaleWithDoc="0" alignWithMargins="0">
    <oddFooter>&amp;C&amp;"Arial,Regular"13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</sheetPr>
  <dimension ref="A1:N76"/>
  <sheetViews>
    <sheetView zoomScaleNormal="100" zoomScaleSheetLayoutView="70" workbookViewId="0">
      <pane ySplit="10" topLeftCell="A65" activePane="bottomLeft" state="frozen"/>
      <selection activeCell="E13" sqref="E13"/>
      <selection pane="bottomLeft" activeCell="M70" sqref="M70"/>
    </sheetView>
  </sheetViews>
  <sheetFormatPr defaultColWidth="9.140625" defaultRowHeight="14.25" x14ac:dyDescent="0.2"/>
  <cols>
    <col min="1" max="1" width="15.7109375" style="24" customWidth="1"/>
    <col min="2" max="2" width="7.7109375" style="25" customWidth="1"/>
    <col min="3" max="3" width="8.7109375" style="24" customWidth="1"/>
    <col min="4" max="4" width="21.7109375" style="24" customWidth="1"/>
    <col min="5" max="5" width="8.7109375" style="24" customWidth="1"/>
    <col min="6" max="6" width="21.7109375" style="24" customWidth="1"/>
    <col min="7" max="7" width="8.7109375" style="24" customWidth="1"/>
    <col min="8" max="8" width="21.7109375" style="24" customWidth="1"/>
    <col min="9" max="9" width="8.7109375" style="24" customWidth="1"/>
    <col min="10" max="10" width="21.7109375" style="24" customWidth="1"/>
    <col min="11" max="11" width="4.7109375" style="26" customWidth="1"/>
    <col min="12" max="16384" width="9.140625" style="26"/>
  </cols>
  <sheetData>
    <row r="1" spans="1:14" ht="14.25" customHeight="1" x14ac:dyDescent="0.2"/>
    <row r="2" spans="1:14" ht="14.2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</row>
    <row r="3" spans="1:14" s="27" customFormat="1" ht="18" customHeight="1" x14ac:dyDescent="0.25">
      <c r="A3" s="148" t="s">
        <v>70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4" s="27" customFormat="1" ht="18" customHeight="1" x14ac:dyDescent="0.25">
      <c r="A4" s="147" t="s">
        <v>71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4" ht="15" customHeight="1" x14ac:dyDescent="0.2">
      <c r="A5" s="165" t="s">
        <v>34</v>
      </c>
      <c r="B5" s="165"/>
      <c r="C5" s="165"/>
      <c r="D5" s="165"/>
      <c r="E5" s="165"/>
      <c r="F5" s="165"/>
      <c r="G5" s="165"/>
      <c r="H5" s="165"/>
      <c r="I5" s="165"/>
      <c r="J5" s="165"/>
    </row>
    <row r="6" spans="1:14" ht="1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9"/>
    </row>
    <row r="7" spans="1:14" ht="15" customHeight="1" thickBot="1" x14ac:dyDescent="0.25">
      <c r="A7" s="28"/>
      <c r="B7" s="28"/>
      <c r="C7" s="28"/>
      <c r="D7" s="28"/>
      <c r="E7" s="28"/>
      <c r="F7" s="28"/>
      <c r="G7" s="28"/>
      <c r="H7" s="28"/>
      <c r="I7" s="28"/>
      <c r="J7" s="30"/>
    </row>
    <row r="8" spans="1:14" s="31" customFormat="1" ht="50.1" customHeight="1" x14ac:dyDescent="0.2">
      <c r="A8" s="166" t="s">
        <v>145</v>
      </c>
      <c r="B8" s="166"/>
      <c r="C8" s="166" t="s">
        <v>24</v>
      </c>
      <c r="D8" s="166"/>
      <c r="E8" s="166" t="s">
        <v>25</v>
      </c>
      <c r="F8" s="166"/>
      <c r="G8" s="166" t="s">
        <v>26</v>
      </c>
      <c r="H8" s="166"/>
      <c r="I8" s="166" t="s">
        <v>27</v>
      </c>
      <c r="J8" s="166"/>
    </row>
    <row r="9" spans="1:14" s="31" customFormat="1" ht="30" customHeight="1" x14ac:dyDescent="0.2">
      <c r="A9" s="153"/>
      <c r="B9" s="153"/>
      <c r="C9" s="153" t="s">
        <v>116</v>
      </c>
      <c r="D9" s="153" t="s">
        <v>117</v>
      </c>
      <c r="E9" s="153" t="s">
        <v>118</v>
      </c>
      <c r="F9" s="153" t="s">
        <v>117</v>
      </c>
      <c r="G9" s="153" t="s">
        <v>119</v>
      </c>
      <c r="H9" s="153" t="s">
        <v>117</v>
      </c>
      <c r="I9" s="153" t="s">
        <v>119</v>
      </c>
      <c r="J9" s="153" t="s">
        <v>117</v>
      </c>
    </row>
    <row r="10" spans="1:14" s="33" customFormat="1" ht="36" customHeight="1" thickBot="1" x14ac:dyDescent="0.3">
      <c r="A10" s="154"/>
      <c r="B10" s="154"/>
      <c r="C10" s="154"/>
      <c r="D10" s="154"/>
      <c r="E10" s="154"/>
      <c r="F10" s="154"/>
      <c r="G10" s="154"/>
      <c r="H10" s="154"/>
      <c r="I10" s="154"/>
      <c r="J10" s="154"/>
    </row>
    <row r="11" spans="1:14" s="33" customFormat="1" ht="8.25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</row>
    <row r="12" spans="1:14" s="31" customFormat="1" ht="20.100000000000001" customHeight="1" x14ac:dyDescent="0.2">
      <c r="A12" s="171" t="s">
        <v>127</v>
      </c>
      <c r="B12" s="171"/>
      <c r="C12" s="172">
        <v>100</v>
      </c>
      <c r="D12" s="164"/>
      <c r="E12" s="173">
        <v>11</v>
      </c>
      <c r="F12" s="173"/>
      <c r="G12" s="163">
        <v>44</v>
      </c>
      <c r="H12" s="164"/>
      <c r="I12" s="163">
        <v>45</v>
      </c>
      <c r="J12" s="167"/>
    </row>
    <row r="13" spans="1:14" s="31" customFormat="1" ht="7.5" customHeight="1" x14ac:dyDescent="0.2">
      <c r="B13" s="34"/>
      <c r="C13" s="112"/>
      <c r="D13" s="113"/>
      <c r="E13" s="26"/>
      <c r="F13" s="26"/>
      <c r="G13" s="112"/>
      <c r="H13" s="113"/>
      <c r="I13" s="112"/>
      <c r="J13" s="113"/>
      <c r="K13" s="35"/>
    </row>
    <row r="14" spans="1:14" s="31" customFormat="1" ht="22.5" customHeight="1" x14ac:dyDescent="0.2">
      <c r="A14" s="169" t="s">
        <v>126</v>
      </c>
      <c r="B14" s="170"/>
      <c r="C14" s="112"/>
      <c r="D14" s="113"/>
      <c r="E14" s="26"/>
      <c r="F14" s="26"/>
      <c r="G14" s="112"/>
      <c r="H14" s="113"/>
      <c r="I14" s="112"/>
      <c r="J14" s="113"/>
      <c r="K14" s="35"/>
    </row>
    <row r="15" spans="1:14" s="31" customFormat="1" ht="9.75" customHeight="1" x14ac:dyDescent="0.2">
      <c r="B15" s="34"/>
      <c r="C15" s="112"/>
      <c r="D15" s="113"/>
      <c r="E15" s="26"/>
      <c r="F15" s="26"/>
      <c r="G15" s="112"/>
      <c r="H15" s="113"/>
      <c r="I15" s="112"/>
      <c r="J15" s="113"/>
      <c r="K15" s="35"/>
    </row>
    <row r="16" spans="1:14" s="31" customFormat="1" ht="18" customHeight="1" x14ac:dyDescent="0.2">
      <c r="A16" s="121">
        <v>2020</v>
      </c>
      <c r="B16" s="122" t="s">
        <v>20</v>
      </c>
      <c r="C16" s="114">
        <v>127.5</v>
      </c>
      <c r="D16" s="78">
        <v>127.3</v>
      </c>
      <c r="E16" s="115">
        <v>97.6</v>
      </c>
      <c r="F16" s="115">
        <v>93.9</v>
      </c>
      <c r="G16" s="114">
        <v>126.8</v>
      </c>
      <c r="H16" s="78">
        <v>127.9</v>
      </c>
      <c r="I16" s="114">
        <v>138.6</v>
      </c>
      <c r="J16" s="78">
        <v>140</v>
      </c>
      <c r="N16" s="35"/>
    </row>
    <row r="17" spans="1:14" s="31" customFormat="1" ht="18" customHeight="1" x14ac:dyDescent="0.2">
      <c r="A17" s="121"/>
      <c r="B17" s="122" t="s">
        <v>3</v>
      </c>
      <c r="C17" s="114">
        <v>97.8</v>
      </c>
      <c r="D17" s="78">
        <v>100.7</v>
      </c>
      <c r="E17" s="115">
        <v>54.9</v>
      </c>
      <c r="F17" s="115">
        <v>60.7</v>
      </c>
      <c r="G17" s="114">
        <v>102.5</v>
      </c>
      <c r="H17" s="78">
        <v>105.5</v>
      </c>
      <c r="I17" s="114">
        <v>107.6</v>
      </c>
      <c r="J17" s="78">
        <v>113.4</v>
      </c>
      <c r="N17" s="35"/>
    </row>
    <row r="18" spans="1:14" s="31" customFormat="1" ht="18" customHeight="1" x14ac:dyDescent="0.2">
      <c r="A18" s="121"/>
      <c r="B18" s="122" t="s">
        <v>4</v>
      </c>
      <c r="C18" s="114">
        <v>129.4</v>
      </c>
      <c r="D18" s="78">
        <v>129.6</v>
      </c>
      <c r="E18" s="115">
        <v>113.7</v>
      </c>
      <c r="F18" s="115">
        <v>116.8</v>
      </c>
      <c r="G18" s="114">
        <v>126.9</v>
      </c>
      <c r="H18" s="78">
        <v>126.2</v>
      </c>
      <c r="I18" s="114">
        <v>138</v>
      </c>
      <c r="J18" s="78">
        <v>140.6</v>
      </c>
      <c r="N18" s="35"/>
    </row>
    <row r="19" spans="1:14" s="31" customFormat="1" ht="18" customHeight="1" x14ac:dyDescent="0.2">
      <c r="A19" s="121"/>
      <c r="B19" s="122" t="s">
        <v>125</v>
      </c>
      <c r="C19" s="114">
        <v>131.69999999999999</v>
      </c>
      <c r="D19" s="78">
        <v>127.4</v>
      </c>
      <c r="E19" s="115">
        <v>109.9</v>
      </c>
      <c r="F19" s="115">
        <v>101</v>
      </c>
      <c r="G19" s="114">
        <v>131.30000000000001</v>
      </c>
      <c r="H19" s="78">
        <v>127</v>
      </c>
      <c r="I19" s="114">
        <v>139.9</v>
      </c>
      <c r="J19" s="78">
        <v>138.19999999999999</v>
      </c>
      <c r="N19" s="35"/>
    </row>
    <row r="20" spans="1:14" s="31" customFormat="1" ht="18" customHeight="1" x14ac:dyDescent="0.2">
      <c r="A20" s="36"/>
      <c r="B20" s="41"/>
      <c r="C20" s="114"/>
      <c r="D20" s="78"/>
      <c r="E20" s="115"/>
      <c r="F20" s="115"/>
      <c r="G20" s="114"/>
      <c r="H20" s="78"/>
      <c r="I20" s="114"/>
      <c r="J20" s="78"/>
    </row>
    <row r="21" spans="1:14" s="31" customFormat="1" ht="18" customHeight="1" x14ac:dyDescent="0.2">
      <c r="A21" s="121">
        <v>2021</v>
      </c>
      <c r="B21" s="122" t="s">
        <v>120</v>
      </c>
      <c r="C21" s="114">
        <v>129.6</v>
      </c>
      <c r="D21" s="78">
        <v>129.4</v>
      </c>
      <c r="E21" s="115">
        <v>105.7</v>
      </c>
      <c r="F21" s="115">
        <v>100.2</v>
      </c>
      <c r="G21" s="114">
        <v>127.9</v>
      </c>
      <c r="H21" s="78">
        <v>128.80000000000001</v>
      </c>
      <c r="I21" s="114">
        <v>140</v>
      </c>
      <c r="J21" s="78">
        <v>141.30000000000001</v>
      </c>
      <c r="N21" s="35"/>
    </row>
    <row r="22" spans="1:14" s="31" customFormat="1" ht="18" customHeight="1" x14ac:dyDescent="0.2">
      <c r="A22" s="121"/>
      <c r="B22" s="122" t="s">
        <v>41</v>
      </c>
      <c r="C22" s="114">
        <v>119.3</v>
      </c>
      <c r="D22" s="78">
        <v>123.7</v>
      </c>
      <c r="E22" s="115">
        <v>70.3</v>
      </c>
      <c r="F22" s="115">
        <v>81</v>
      </c>
      <c r="G22" s="114">
        <v>124.1</v>
      </c>
      <c r="H22" s="78">
        <v>128.19999999999999</v>
      </c>
      <c r="I22" s="114">
        <v>130.80000000000001</v>
      </c>
      <c r="J22" s="78">
        <v>137.6</v>
      </c>
      <c r="N22" s="35"/>
    </row>
    <row r="23" spans="1:14" s="31" customFormat="1" ht="18" customHeight="1" x14ac:dyDescent="0.2">
      <c r="A23" s="121"/>
      <c r="B23" s="122" t="s">
        <v>121</v>
      </c>
      <c r="C23" s="114">
        <v>114.8</v>
      </c>
      <c r="D23" s="78">
        <v>115</v>
      </c>
      <c r="E23" s="115">
        <v>48.7</v>
      </c>
      <c r="F23" s="115">
        <v>49</v>
      </c>
      <c r="G23" s="114">
        <v>122.9</v>
      </c>
      <c r="H23" s="78">
        <v>122.3</v>
      </c>
      <c r="I23" s="114">
        <v>128.80000000000001</v>
      </c>
      <c r="J23" s="78">
        <v>133</v>
      </c>
      <c r="N23" s="35"/>
    </row>
    <row r="24" spans="1:14" s="31" customFormat="1" ht="18" customHeight="1" x14ac:dyDescent="0.2">
      <c r="A24" s="121"/>
      <c r="B24" s="122" t="s">
        <v>82</v>
      </c>
      <c r="C24" s="114">
        <v>133.69999999999999</v>
      </c>
      <c r="D24" s="78">
        <v>129.4</v>
      </c>
      <c r="E24" s="115">
        <v>116</v>
      </c>
      <c r="F24" s="115">
        <v>106.3</v>
      </c>
      <c r="G24" s="114">
        <v>131.30000000000001</v>
      </c>
      <c r="H24" s="78">
        <v>127</v>
      </c>
      <c r="I24" s="114">
        <v>142.69999999999999</v>
      </c>
      <c r="J24" s="78">
        <v>141.1</v>
      </c>
      <c r="N24" s="35"/>
    </row>
    <row r="25" spans="1:14" s="31" customFormat="1" ht="18" customHeight="1" x14ac:dyDescent="0.2">
      <c r="A25" s="121"/>
      <c r="B25" s="122"/>
      <c r="C25" s="114"/>
      <c r="D25" s="78"/>
      <c r="E25" s="115"/>
      <c r="F25" s="115"/>
      <c r="G25" s="114"/>
      <c r="H25" s="78"/>
      <c r="I25" s="114"/>
      <c r="J25" s="78"/>
    </row>
    <row r="26" spans="1:14" s="31" customFormat="1" ht="18" customHeight="1" x14ac:dyDescent="0.2">
      <c r="A26" s="121">
        <v>2022</v>
      </c>
      <c r="B26" s="122" t="s">
        <v>120</v>
      </c>
      <c r="C26" s="114">
        <v>134.69999999999999</v>
      </c>
      <c r="D26" s="78">
        <v>134.5</v>
      </c>
      <c r="E26" s="115">
        <v>115</v>
      </c>
      <c r="F26" s="115">
        <v>108.8</v>
      </c>
      <c r="G26" s="114">
        <v>129.4</v>
      </c>
      <c r="H26" s="78">
        <v>130.19999999999999</v>
      </c>
      <c r="I26" s="114">
        <v>147.19999999999999</v>
      </c>
      <c r="J26" s="78">
        <v>148.5</v>
      </c>
      <c r="N26" s="35"/>
    </row>
    <row r="27" spans="1:14" s="31" customFormat="1" ht="18" customHeight="1" x14ac:dyDescent="0.2">
      <c r="A27" s="121"/>
      <c r="B27" s="122" t="s">
        <v>122</v>
      </c>
      <c r="C27" s="114">
        <v>142.19999999999999</v>
      </c>
      <c r="D27" s="78">
        <v>147.19999999999999</v>
      </c>
      <c r="E27" s="115">
        <v>117</v>
      </c>
      <c r="F27" s="115">
        <v>132.30000000000001</v>
      </c>
      <c r="G27" s="114">
        <v>131</v>
      </c>
      <c r="H27" s="78">
        <v>135.5</v>
      </c>
      <c r="I27" s="114">
        <v>162.1</v>
      </c>
      <c r="J27" s="78">
        <v>170</v>
      </c>
      <c r="N27" s="35"/>
    </row>
    <row r="28" spans="1:14" s="31" customFormat="1" ht="18" customHeight="1" x14ac:dyDescent="0.2">
      <c r="A28" s="121"/>
      <c r="B28" s="122" t="s">
        <v>4</v>
      </c>
      <c r="C28" s="114">
        <v>144.6</v>
      </c>
      <c r="D28" s="78">
        <v>144.80000000000001</v>
      </c>
      <c r="E28" s="115">
        <v>118.1</v>
      </c>
      <c r="F28" s="115">
        <v>121.9</v>
      </c>
      <c r="G28" s="114">
        <v>131.6</v>
      </c>
      <c r="H28" s="78">
        <v>131</v>
      </c>
      <c r="I28" s="114">
        <v>166.8</v>
      </c>
      <c r="J28" s="78">
        <v>173.5</v>
      </c>
      <c r="N28" s="35"/>
    </row>
    <row r="29" spans="1:14" s="31" customFormat="1" ht="18" customHeight="1" x14ac:dyDescent="0.2">
      <c r="A29" s="121"/>
      <c r="B29" s="122" t="s">
        <v>123</v>
      </c>
      <c r="C29" s="114">
        <v>146.9</v>
      </c>
      <c r="D29" s="78">
        <v>142.19999999999999</v>
      </c>
      <c r="E29" s="115">
        <v>124.2</v>
      </c>
      <c r="F29" s="115">
        <v>113.4</v>
      </c>
      <c r="G29" s="114">
        <v>132.4</v>
      </c>
      <c r="H29" s="78">
        <v>128.1</v>
      </c>
      <c r="I29" s="114">
        <v>170.1</v>
      </c>
      <c r="J29" s="78">
        <v>167.1</v>
      </c>
      <c r="N29" s="35"/>
    </row>
    <row r="30" spans="1:14" s="31" customFormat="1" ht="18" customHeight="1" x14ac:dyDescent="0.2">
      <c r="A30" s="121"/>
      <c r="B30" s="122"/>
      <c r="C30" s="114"/>
      <c r="D30" s="78"/>
      <c r="E30" s="115"/>
      <c r="F30" s="115"/>
      <c r="G30" s="114"/>
      <c r="H30" s="78"/>
      <c r="I30" s="114"/>
      <c r="J30" s="78"/>
    </row>
    <row r="31" spans="1:14" s="31" customFormat="1" ht="18" customHeight="1" x14ac:dyDescent="0.2">
      <c r="A31" s="121">
        <v>2023</v>
      </c>
      <c r="B31" s="122" t="s">
        <v>124</v>
      </c>
      <c r="C31" s="114">
        <v>147.4</v>
      </c>
      <c r="D31" s="78">
        <v>147.30000000000001</v>
      </c>
      <c r="E31" s="115">
        <v>128.1</v>
      </c>
      <c r="F31" s="115">
        <v>121.5</v>
      </c>
      <c r="G31" s="114">
        <v>133.93687987711004</v>
      </c>
      <c r="H31" s="78">
        <v>134.9</v>
      </c>
      <c r="I31" s="114">
        <v>168.8</v>
      </c>
      <c r="J31" s="78">
        <v>167.1</v>
      </c>
      <c r="N31" s="35"/>
    </row>
    <row r="32" spans="1:14" s="31" customFormat="1" ht="18" customHeight="1" thickBot="1" x14ac:dyDescent="0.25">
      <c r="A32" s="36"/>
      <c r="B32" s="41"/>
      <c r="C32" s="116"/>
      <c r="D32" s="79"/>
      <c r="E32" s="115"/>
      <c r="F32" s="115"/>
      <c r="G32" s="116"/>
      <c r="H32" s="79"/>
      <c r="I32" s="116"/>
      <c r="J32" s="79"/>
    </row>
    <row r="33" spans="1:10" ht="31.5" customHeight="1" x14ac:dyDescent="0.2">
      <c r="A33" s="168" t="s">
        <v>47</v>
      </c>
      <c r="B33" s="168"/>
      <c r="C33" s="168"/>
      <c r="D33" s="168"/>
      <c r="E33" s="168"/>
      <c r="F33" s="168"/>
      <c r="G33" s="168"/>
      <c r="H33" s="168"/>
      <c r="I33" s="168"/>
      <c r="J33" s="168"/>
    </row>
    <row r="34" spans="1:10" s="31" customFormat="1" ht="18" customHeight="1" x14ac:dyDescent="0.2">
      <c r="A34" s="121">
        <v>2020</v>
      </c>
      <c r="B34" s="122" t="s">
        <v>20</v>
      </c>
      <c r="C34" s="114">
        <v>1.5</v>
      </c>
      <c r="D34" s="78"/>
      <c r="E34" s="115">
        <v>-3.5</v>
      </c>
      <c r="F34" s="115"/>
      <c r="G34" s="114">
        <v>2.5</v>
      </c>
      <c r="H34" s="78"/>
      <c r="I34" s="114">
        <v>1.8</v>
      </c>
      <c r="J34" s="78"/>
    </row>
    <row r="35" spans="1:10" s="31" customFormat="1" ht="18" customHeight="1" x14ac:dyDescent="0.2">
      <c r="A35" s="121"/>
      <c r="B35" s="122" t="s">
        <v>3</v>
      </c>
      <c r="C35" s="114">
        <v>-23.4</v>
      </c>
      <c r="D35" s="78"/>
      <c r="E35" s="115">
        <v>-48</v>
      </c>
      <c r="F35" s="115"/>
      <c r="G35" s="114">
        <v>-19.3</v>
      </c>
      <c r="H35" s="78"/>
      <c r="I35" s="114">
        <v>-21.2</v>
      </c>
      <c r="J35" s="78"/>
    </row>
    <row r="36" spans="1:10" s="31" customFormat="1" ht="18" customHeight="1" x14ac:dyDescent="0.2">
      <c r="A36" s="121"/>
      <c r="B36" s="122" t="s">
        <v>4</v>
      </c>
      <c r="C36" s="114">
        <v>-2</v>
      </c>
      <c r="D36" s="78"/>
      <c r="E36" s="115">
        <v>5.5</v>
      </c>
      <c r="F36" s="115"/>
      <c r="G36" s="114">
        <v>-3.5</v>
      </c>
      <c r="H36" s="78"/>
      <c r="I36" s="114">
        <v>-2.2999999999999998</v>
      </c>
      <c r="J36" s="78"/>
    </row>
    <row r="37" spans="1:10" s="31" customFormat="1" ht="18" customHeight="1" x14ac:dyDescent="0.2">
      <c r="A37" s="121"/>
      <c r="B37" s="122" t="s">
        <v>125</v>
      </c>
      <c r="C37" s="114">
        <v>-0.9</v>
      </c>
      <c r="D37" s="78"/>
      <c r="E37" s="115">
        <v>5.8</v>
      </c>
      <c r="F37" s="115"/>
      <c r="G37" s="114">
        <v>-0.4</v>
      </c>
      <c r="H37" s="78"/>
      <c r="I37" s="114">
        <v>-2.9</v>
      </c>
      <c r="J37" s="78"/>
    </row>
    <row r="38" spans="1:10" s="31" customFormat="1" ht="18" customHeight="1" x14ac:dyDescent="0.2">
      <c r="A38" s="81"/>
      <c r="B38" s="41"/>
      <c r="C38" s="114"/>
      <c r="D38" s="78"/>
      <c r="E38" s="115"/>
      <c r="F38" s="115"/>
      <c r="G38" s="114"/>
      <c r="H38" s="78"/>
      <c r="I38" s="114"/>
      <c r="J38" s="78"/>
    </row>
    <row r="39" spans="1:10" s="31" customFormat="1" ht="18" customHeight="1" x14ac:dyDescent="0.2">
      <c r="A39" s="121">
        <v>2021</v>
      </c>
      <c r="B39" s="122" t="s">
        <v>120</v>
      </c>
      <c r="C39" s="114">
        <v>1.7</v>
      </c>
      <c r="D39" s="78"/>
      <c r="E39" s="115">
        <v>8.1999999999999993</v>
      </c>
      <c r="F39" s="115"/>
      <c r="G39" s="114">
        <v>0.8</v>
      </c>
      <c r="H39" s="78"/>
      <c r="I39" s="114">
        <v>1</v>
      </c>
      <c r="J39" s="78"/>
    </row>
    <row r="40" spans="1:10" s="31" customFormat="1" ht="18" customHeight="1" x14ac:dyDescent="0.2">
      <c r="A40" s="121"/>
      <c r="B40" s="122" t="s">
        <v>41</v>
      </c>
      <c r="C40" s="114">
        <v>21.9</v>
      </c>
      <c r="D40" s="78"/>
      <c r="E40" s="115">
        <v>28.2</v>
      </c>
      <c r="F40" s="115"/>
      <c r="G40" s="114">
        <v>21.1</v>
      </c>
      <c r="H40" s="78"/>
      <c r="I40" s="114">
        <v>21.6</v>
      </c>
      <c r="J40" s="78"/>
    </row>
    <row r="41" spans="1:10" s="31" customFormat="1" ht="18" customHeight="1" x14ac:dyDescent="0.2">
      <c r="A41" s="121"/>
      <c r="B41" s="122" t="s">
        <v>121</v>
      </c>
      <c r="C41" s="114">
        <v>-11.3</v>
      </c>
      <c r="D41" s="78"/>
      <c r="E41" s="115">
        <v>-57.2</v>
      </c>
      <c r="F41" s="115"/>
      <c r="G41" s="114">
        <v>-3.1</v>
      </c>
      <c r="H41" s="78"/>
      <c r="I41" s="114">
        <v>-6.7</v>
      </c>
      <c r="J41" s="78"/>
    </row>
    <row r="42" spans="1:10" s="31" customFormat="1" ht="18" customHeight="1" x14ac:dyDescent="0.2">
      <c r="A42" s="121"/>
      <c r="B42" s="122" t="s">
        <v>82</v>
      </c>
      <c r="C42" s="114">
        <v>1.5</v>
      </c>
      <c r="D42" s="78"/>
      <c r="E42" s="115">
        <v>5.6</v>
      </c>
      <c r="F42" s="115"/>
      <c r="G42" s="117">
        <v>0.03</v>
      </c>
      <c r="H42" s="78"/>
      <c r="I42" s="114">
        <v>2</v>
      </c>
      <c r="J42" s="78"/>
    </row>
    <row r="43" spans="1:10" s="31" customFormat="1" ht="18" customHeight="1" x14ac:dyDescent="0.2">
      <c r="A43" s="121"/>
      <c r="B43" s="122"/>
      <c r="C43" s="114"/>
      <c r="D43" s="78"/>
      <c r="E43" s="115"/>
      <c r="F43" s="115"/>
      <c r="G43" s="117"/>
      <c r="H43" s="78"/>
      <c r="I43" s="114"/>
      <c r="J43" s="78"/>
    </row>
    <row r="44" spans="1:10" s="31" customFormat="1" ht="18" customHeight="1" x14ac:dyDescent="0.2">
      <c r="A44" s="121">
        <v>2022</v>
      </c>
      <c r="B44" s="122" t="s">
        <v>120</v>
      </c>
      <c r="C44" s="114">
        <v>3.9</v>
      </c>
      <c r="D44" s="78"/>
      <c r="E44" s="115">
        <v>8.8000000000000007</v>
      </c>
      <c r="F44" s="115"/>
      <c r="G44" s="114">
        <v>1.18</v>
      </c>
      <c r="H44" s="78"/>
      <c r="I44" s="114">
        <v>5.0999999999999996</v>
      </c>
      <c r="J44" s="78"/>
    </row>
    <row r="45" spans="1:10" s="31" customFormat="1" ht="18" customHeight="1" x14ac:dyDescent="0.2">
      <c r="A45" s="121"/>
      <c r="B45" s="122" t="s">
        <v>122</v>
      </c>
      <c r="C45" s="114">
        <v>19.3</v>
      </c>
      <c r="D45" s="78"/>
      <c r="E45" s="115">
        <v>66.400000000000006</v>
      </c>
      <c r="F45" s="115"/>
      <c r="G45" s="114">
        <v>5.59</v>
      </c>
      <c r="H45" s="78"/>
      <c r="I45" s="114">
        <v>23.9</v>
      </c>
      <c r="J45" s="78"/>
    </row>
    <row r="46" spans="1:10" s="31" customFormat="1" ht="18" customHeight="1" x14ac:dyDescent="0.2">
      <c r="A46" s="121"/>
      <c r="B46" s="122" t="s">
        <v>4</v>
      </c>
      <c r="C46" s="114">
        <v>25.9</v>
      </c>
      <c r="D46" s="78"/>
      <c r="E46" s="115">
        <v>142.6</v>
      </c>
      <c r="F46" s="115"/>
      <c r="G46" s="114">
        <v>7.09</v>
      </c>
      <c r="H46" s="78"/>
      <c r="I46" s="114">
        <v>29.6</v>
      </c>
      <c r="J46" s="78"/>
    </row>
    <row r="47" spans="1:10" s="31" customFormat="1" ht="18" customHeight="1" x14ac:dyDescent="0.2">
      <c r="A47" s="121"/>
      <c r="B47" s="122" t="s">
        <v>123</v>
      </c>
      <c r="C47" s="114">
        <v>9.9</v>
      </c>
      <c r="D47" s="78"/>
      <c r="E47" s="115">
        <v>7</v>
      </c>
      <c r="F47" s="115"/>
      <c r="G47" s="114">
        <v>0.85</v>
      </c>
      <c r="H47" s="78"/>
      <c r="I47" s="114">
        <v>19.3</v>
      </c>
      <c r="J47" s="78"/>
    </row>
    <row r="48" spans="1:10" s="31" customFormat="1" ht="18" customHeight="1" x14ac:dyDescent="0.2">
      <c r="A48" s="121"/>
      <c r="B48" s="122"/>
      <c r="C48" s="114"/>
      <c r="D48" s="78"/>
      <c r="E48" s="115"/>
      <c r="F48" s="115"/>
      <c r="G48" s="117"/>
      <c r="H48" s="78"/>
      <c r="I48" s="114"/>
      <c r="J48" s="78"/>
    </row>
    <row r="49" spans="1:10" s="31" customFormat="1" ht="18" customHeight="1" x14ac:dyDescent="0.2">
      <c r="A49" s="121">
        <v>2023</v>
      </c>
      <c r="B49" s="122" t="s">
        <v>124</v>
      </c>
      <c r="C49" s="114">
        <v>9.5</v>
      </c>
      <c r="D49" s="78"/>
      <c r="E49" s="115">
        <v>11.4</v>
      </c>
      <c r="F49" s="115"/>
      <c r="G49" s="114">
        <v>3.5</v>
      </c>
      <c r="H49" s="78"/>
      <c r="I49" s="114">
        <v>14.7</v>
      </c>
      <c r="J49" s="78"/>
    </row>
    <row r="50" spans="1:10" s="31" customFormat="1" ht="18" customHeight="1" thickBot="1" x14ac:dyDescent="0.25">
      <c r="A50" s="36"/>
      <c r="B50" s="41"/>
      <c r="C50" s="76"/>
      <c r="D50" s="56"/>
      <c r="E50" s="38"/>
      <c r="F50" s="38"/>
      <c r="G50" s="76"/>
      <c r="H50" s="56"/>
      <c r="I50" s="76"/>
      <c r="J50" s="56"/>
    </row>
    <row r="51" spans="1:10" ht="30" customHeight="1" x14ac:dyDescent="0.2">
      <c r="A51" s="168" t="s">
        <v>49</v>
      </c>
      <c r="B51" s="168"/>
      <c r="C51" s="168"/>
      <c r="D51" s="168"/>
      <c r="E51" s="168"/>
      <c r="F51" s="168"/>
      <c r="G51" s="168"/>
      <c r="H51" s="168"/>
      <c r="I51" s="168"/>
      <c r="J51" s="168"/>
    </row>
    <row r="52" spans="1:10" s="31" customFormat="1" ht="18" customHeight="1" x14ac:dyDescent="0.2">
      <c r="A52" s="121">
        <v>2020</v>
      </c>
      <c r="B52" s="122" t="s">
        <v>20</v>
      </c>
      <c r="C52" s="118">
        <v>-4</v>
      </c>
      <c r="D52" s="55">
        <v>-1.8</v>
      </c>
      <c r="E52" s="115">
        <v>-6</v>
      </c>
      <c r="F52" s="115">
        <v>-6.2</v>
      </c>
      <c r="G52" s="118">
        <v>-3.7</v>
      </c>
      <c r="H52" s="55">
        <v>-0.5</v>
      </c>
      <c r="I52" s="118">
        <v>-3.8</v>
      </c>
      <c r="J52" s="55">
        <v>-0.3</v>
      </c>
    </row>
    <row r="53" spans="1:10" s="31" customFormat="1" ht="18" customHeight="1" x14ac:dyDescent="0.2">
      <c r="A53" s="121"/>
      <c r="B53" s="122" t="s">
        <v>3</v>
      </c>
      <c r="C53" s="118">
        <v>-23.2</v>
      </c>
      <c r="D53" s="55">
        <v>-20.9</v>
      </c>
      <c r="E53" s="115">
        <v>-43.8</v>
      </c>
      <c r="F53" s="115">
        <v>-35.299999999999997</v>
      </c>
      <c r="G53" s="118">
        <v>-19.2</v>
      </c>
      <c r="H53" s="55">
        <v>-17.5</v>
      </c>
      <c r="I53" s="118">
        <v>-22.4</v>
      </c>
      <c r="J53" s="55">
        <v>-19</v>
      </c>
    </row>
    <row r="54" spans="1:10" s="31" customFormat="1" ht="18" customHeight="1" x14ac:dyDescent="0.2">
      <c r="A54" s="121"/>
      <c r="B54" s="122" t="s">
        <v>4</v>
      </c>
      <c r="C54" s="118">
        <v>32.200000000000003</v>
      </c>
      <c r="D54" s="55">
        <v>28.8</v>
      </c>
      <c r="E54" s="115">
        <v>107.1</v>
      </c>
      <c r="F54" s="115">
        <v>92.3</v>
      </c>
      <c r="G54" s="118">
        <v>23.8</v>
      </c>
      <c r="H54" s="55">
        <v>19.600000000000001</v>
      </c>
      <c r="I54" s="118">
        <v>28.3</v>
      </c>
      <c r="J54" s="55">
        <v>24</v>
      </c>
    </row>
    <row r="55" spans="1:10" s="31" customFormat="1" ht="18" customHeight="1" x14ac:dyDescent="0.2">
      <c r="A55" s="121"/>
      <c r="B55" s="122" t="s">
        <v>125</v>
      </c>
      <c r="C55" s="118">
        <v>1.8</v>
      </c>
      <c r="D55" s="55">
        <v>-1.7</v>
      </c>
      <c r="E55" s="115">
        <v>-3.3</v>
      </c>
      <c r="F55" s="115">
        <v>-13.5</v>
      </c>
      <c r="G55" s="118">
        <v>3.5</v>
      </c>
      <c r="H55" s="55">
        <v>0.6</v>
      </c>
      <c r="I55" s="118">
        <v>1.4</v>
      </c>
      <c r="J55" s="55">
        <v>-1.7</v>
      </c>
    </row>
    <row r="56" spans="1:10" s="31" customFormat="1" ht="18" customHeight="1" x14ac:dyDescent="0.2">
      <c r="A56" s="121"/>
      <c r="B56" s="122"/>
      <c r="C56" s="118"/>
      <c r="D56" s="55"/>
      <c r="E56" s="115"/>
      <c r="F56" s="115"/>
      <c r="G56" s="118"/>
      <c r="H56" s="55"/>
      <c r="I56" s="118"/>
      <c r="J56" s="55"/>
    </row>
    <row r="57" spans="1:10" s="31" customFormat="1" ht="18" customHeight="1" x14ac:dyDescent="0.2">
      <c r="A57" s="121">
        <v>2021</v>
      </c>
      <c r="B57" s="122" t="s">
        <v>120</v>
      </c>
      <c r="C57" s="118">
        <v>-1.6</v>
      </c>
      <c r="D57" s="55">
        <v>1.6</v>
      </c>
      <c r="E57" s="115">
        <v>-3.8</v>
      </c>
      <c r="F57" s="115">
        <v>-0.8</v>
      </c>
      <c r="G57" s="118">
        <v>-2.6</v>
      </c>
      <c r="H57" s="55">
        <v>1.4</v>
      </c>
      <c r="I57" s="118">
        <v>0.1</v>
      </c>
      <c r="J57" s="55">
        <v>2.2000000000000002</v>
      </c>
    </row>
    <row r="58" spans="1:10" s="31" customFormat="1" ht="18" customHeight="1" x14ac:dyDescent="0.2">
      <c r="A58" s="121"/>
      <c r="B58" s="122" t="s">
        <v>41</v>
      </c>
      <c r="C58" s="118">
        <v>-8</v>
      </c>
      <c r="D58" s="55">
        <v>-4.4000000000000004</v>
      </c>
      <c r="E58" s="115">
        <v>-33.4</v>
      </c>
      <c r="F58" s="115">
        <v>-19.2</v>
      </c>
      <c r="G58" s="118">
        <v>-3</v>
      </c>
      <c r="H58" s="55">
        <v>-0.5</v>
      </c>
      <c r="I58" s="118">
        <v>-6.6</v>
      </c>
      <c r="J58" s="55">
        <v>-2.6</v>
      </c>
    </row>
    <row r="59" spans="1:10" s="31" customFormat="1" ht="18" customHeight="1" x14ac:dyDescent="0.2">
      <c r="A59" s="121"/>
      <c r="B59" s="122" t="s">
        <v>121</v>
      </c>
      <c r="C59" s="118">
        <v>-3.7</v>
      </c>
      <c r="D59" s="55">
        <v>-7</v>
      </c>
      <c r="E59" s="115">
        <v>-30.8</v>
      </c>
      <c r="F59" s="115">
        <v>-39.5</v>
      </c>
      <c r="G59" s="118">
        <v>-0.9</v>
      </c>
      <c r="H59" s="55">
        <v>-4.7</v>
      </c>
      <c r="I59" s="118">
        <v>-1.6</v>
      </c>
      <c r="J59" s="55">
        <v>-3.4</v>
      </c>
    </row>
    <row r="60" spans="1:10" s="31" customFormat="1" ht="18" customHeight="1" x14ac:dyDescent="0.2">
      <c r="A60" s="121"/>
      <c r="B60" s="122" t="s">
        <v>82</v>
      </c>
      <c r="C60" s="118">
        <v>16.399999999999999</v>
      </c>
      <c r="D60" s="55">
        <v>12.5</v>
      </c>
      <c r="E60" s="115">
        <v>138.19999999999999</v>
      </c>
      <c r="F60" s="115">
        <v>116.9</v>
      </c>
      <c r="G60" s="118">
        <v>6.8</v>
      </c>
      <c r="H60" s="55">
        <v>3.9</v>
      </c>
      <c r="I60" s="118">
        <v>10.8</v>
      </c>
      <c r="J60" s="55">
        <v>6.1</v>
      </c>
    </row>
    <row r="61" spans="1:10" s="31" customFormat="1" ht="18" customHeight="1" x14ac:dyDescent="0.2">
      <c r="A61" s="121"/>
      <c r="B61" s="122"/>
      <c r="C61" s="118"/>
      <c r="D61" s="55"/>
      <c r="E61" s="115"/>
      <c r="F61" s="115"/>
      <c r="G61" s="118"/>
      <c r="H61" s="55"/>
      <c r="I61" s="118"/>
      <c r="J61" s="55"/>
    </row>
    <row r="62" spans="1:10" s="31" customFormat="1" ht="18" customHeight="1" x14ac:dyDescent="0.2">
      <c r="A62" s="121">
        <v>2022</v>
      </c>
      <c r="B62" s="122" t="s">
        <v>120</v>
      </c>
      <c r="C62" s="118">
        <v>0.7</v>
      </c>
      <c r="D62" s="55">
        <v>3.9</v>
      </c>
      <c r="E62" s="115">
        <v>-0.9</v>
      </c>
      <c r="F62" s="115">
        <v>2.2999999999999998</v>
      </c>
      <c r="G62" s="118">
        <v>-1.5</v>
      </c>
      <c r="H62" s="55">
        <v>2.5</v>
      </c>
      <c r="I62" s="118">
        <v>3.2</v>
      </c>
      <c r="J62" s="55">
        <v>5.3</v>
      </c>
    </row>
    <row r="63" spans="1:10" s="31" customFormat="1" ht="18" customHeight="1" x14ac:dyDescent="0.2">
      <c r="A63" s="121"/>
      <c r="B63" s="122" t="s">
        <v>122</v>
      </c>
      <c r="C63" s="118">
        <v>5.6</v>
      </c>
      <c r="D63" s="55">
        <v>9.4</v>
      </c>
      <c r="E63" s="115">
        <v>1.8</v>
      </c>
      <c r="F63" s="115">
        <v>21.6</v>
      </c>
      <c r="G63" s="118">
        <v>1.3</v>
      </c>
      <c r="H63" s="55">
        <v>4</v>
      </c>
      <c r="I63" s="118">
        <v>10.1</v>
      </c>
      <c r="J63" s="55">
        <v>14.5</v>
      </c>
    </row>
    <row r="64" spans="1:10" s="31" customFormat="1" ht="18" customHeight="1" x14ac:dyDescent="0.2">
      <c r="A64" s="121"/>
      <c r="B64" s="122" t="s">
        <v>4</v>
      </c>
      <c r="C64" s="118">
        <v>1.6</v>
      </c>
      <c r="D64" s="55">
        <v>-1.6</v>
      </c>
      <c r="E64" s="115">
        <v>0.9</v>
      </c>
      <c r="F64" s="115">
        <v>-7.8</v>
      </c>
      <c r="G64" s="118">
        <v>0.5</v>
      </c>
      <c r="H64" s="55">
        <v>-3.3</v>
      </c>
      <c r="I64" s="118">
        <v>2.9</v>
      </c>
      <c r="J64" s="55">
        <v>2</v>
      </c>
    </row>
    <row r="65" spans="1:12" s="31" customFormat="1" ht="18" customHeight="1" x14ac:dyDescent="0.2">
      <c r="A65" s="121"/>
      <c r="B65" s="122" t="s">
        <v>123</v>
      </c>
      <c r="C65" s="118">
        <v>1.6</v>
      </c>
      <c r="D65" s="55">
        <v>-1.8</v>
      </c>
      <c r="E65" s="115">
        <v>5.0999999999999996</v>
      </c>
      <c r="F65" s="115">
        <v>-7</v>
      </c>
      <c r="G65" s="118">
        <v>0.6</v>
      </c>
      <c r="H65" s="55">
        <v>-2.2000000000000002</v>
      </c>
      <c r="I65" s="118">
        <v>2</v>
      </c>
      <c r="J65" s="55">
        <v>-3.7</v>
      </c>
    </row>
    <row r="66" spans="1:12" s="31" customFormat="1" ht="18" customHeight="1" x14ac:dyDescent="0.2">
      <c r="A66" s="121"/>
      <c r="B66" s="122"/>
      <c r="C66" s="118"/>
      <c r="D66" s="55"/>
      <c r="E66" s="115"/>
      <c r="F66" s="115"/>
      <c r="G66" s="118"/>
      <c r="H66" s="55"/>
      <c r="I66" s="118"/>
      <c r="J66" s="55"/>
    </row>
    <row r="67" spans="1:12" s="31" customFormat="1" ht="18" customHeight="1" x14ac:dyDescent="0.2">
      <c r="A67" s="121">
        <v>2023</v>
      </c>
      <c r="B67" s="122" t="s">
        <v>124</v>
      </c>
      <c r="C67" s="118">
        <v>0.4</v>
      </c>
      <c r="D67" s="119">
        <v>3.6</v>
      </c>
      <c r="E67" s="118">
        <v>3.2</v>
      </c>
      <c r="F67" s="115">
        <v>7.2</v>
      </c>
      <c r="G67" s="118">
        <v>1.1000000000000001</v>
      </c>
      <c r="H67" s="55">
        <v>5.4</v>
      </c>
      <c r="I67" s="118">
        <v>-0.8</v>
      </c>
      <c r="J67" s="120">
        <v>-2E-3</v>
      </c>
      <c r="L67" s="91"/>
    </row>
    <row r="68" spans="1:12" s="31" customFormat="1" ht="18.75" customHeight="1" thickBot="1" x14ac:dyDescent="0.25">
      <c r="A68" s="36"/>
      <c r="B68" s="41"/>
      <c r="C68" s="37"/>
      <c r="D68" s="49"/>
      <c r="E68" s="38"/>
      <c r="F68" s="38"/>
      <c r="G68" s="37"/>
      <c r="H68" s="49"/>
      <c r="I68" s="37"/>
      <c r="J68" s="49"/>
    </row>
    <row r="69" spans="1:12" s="31" customFormat="1" ht="7.5" hidden="1" customHeight="1" thickBot="1" x14ac:dyDescent="0.25">
      <c r="B69" s="39"/>
      <c r="C69" s="37"/>
      <c r="D69" s="49"/>
      <c r="E69" s="38"/>
      <c r="F69" s="38"/>
      <c r="G69" s="37"/>
      <c r="H69" s="49"/>
      <c r="I69" s="37"/>
      <c r="J69" s="49"/>
    </row>
    <row r="70" spans="1:12" s="31" customFormat="1" ht="50.1" customHeight="1" thickBot="1" x14ac:dyDescent="0.25">
      <c r="A70" s="158" t="s">
        <v>30</v>
      </c>
      <c r="B70" s="159"/>
      <c r="C70" s="160" t="s">
        <v>28</v>
      </c>
      <c r="D70" s="161"/>
      <c r="E70" s="162" t="s">
        <v>22</v>
      </c>
      <c r="F70" s="162"/>
      <c r="G70" s="160" t="s">
        <v>29</v>
      </c>
      <c r="H70" s="161"/>
      <c r="I70" s="160" t="s">
        <v>23</v>
      </c>
      <c r="J70" s="161"/>
    </row>
    <row r="71" spans="1:12" ht="17.25" hidden="1" customHeight="1" x14ac:dyDescent="0.2">
      <c r="A71" s="18" t="s">
        <v>48</v>
      </c>
      <c r="B71" s="15"/>
      <c r="C71" s="13"/>
      <c r="D71" s="13"/>
      <c r="E71" s="13"/>
      <c r="F71" s="13"/>
      <c r="G71" s="13"/>
      <c r="H71" s="13"/>
      <c r="I71" s="13"/>
      <c r="J71" s="13"/>
    </row>
    <row r="72" spans="1:12" ht="21.95" customHeight="1" x14ac:dyDescent="0.2">
      <c r="A72" s="13" t="s">
        <v>44</v>
      </c>
      <c r="B72" s="15"/>
      <c r="C72" s="13"/>
      <c r="D72" s="13"/>
      <c r="E72" s="13"/>
      <c r="F72" s="13"/>
      <c r="G72" s="13"/>
      <c r="H72" s="13"/>
      <c r="I72" s="13"/>
      <c r="J72" s="13"/>
      <c r="K72" s="34"/>
    </row>
    <row r="73" spans="1:12" ht="16.5" x14ac:dyDescent="0.2">
      <c r="A73" s="24" t="s">
        <v>143</v>
      </c>
      <c r="B73" s="16"/>
      <c r="C73" s="16"/>
      <c r="D73" s="16"/>
      <c r="E73" s="16"/>
      <c r="F73" s="16"/>
      <c r="G73" s="16"/>
      <c r="H73" s="16"/>
      <c r="I73" s="16"/>
      <c r="J73" s="16"/>
    </row>
    <row r="74" spans="1:12" x14ac:dyDescent="0.2">
      <c r="A74" s="73"/>
      <c r="B74" s="73"/>
      <c r="C74" s="73"/>
      <c r="D74" s="73"/>
      <c r="E74" s="73"/>
      <c r="F74" s="73"/>
      <c r="G74" s="73"/>
      <c r="H74" s="73"/>
      <c r="I74" s="73"/>
      <c r="J74" s="73"/>
    </row>
    <row r="75" spans="1:12" x14ac:dyDescent="0.2">
      <c r="A75" s="43"/>
    </row>
    <row r="76" spans="1:12" x14ac:dyDescent="0.2">
      <c r="A76" s="43"/>
    </row>
  </sheetData>
  <sheetProtection algorithmName="SHA-512" hashValue="jH7Df1hMnNoHZKuGTsqlrkngqeJC4nZ/lpfO+wFV8q2ORhU8osUd4XsiDkelKe0zHCz8M7cO3wJyUbFyS/BNhQ==" saltValue="BYcQduCRfPq0lwUH4NoW6Q==" spinCount="100000" sheet="1" objects="1" scenarios="1"/>
  <mergeCells count="30">
    <mergeCell ref="J9:J10"/>
    <mergeCell ref="I9:I10"/>
    <mergeCell ref="I12:J12"/>
    <mergeCell ref="A33:J33"/>
    <mergeCell ref="A51:J51"/>
    <mergeCell ref="G9:G10"/>
    <mergeCell ref="A8:B10"/>
    <mergeCell ref="C8:D8"/>
    <mergeCell ref="E8:F8"/>
    <mergeCell ref="G8:H8"/>
    <mergeCell ref="A14:B14"/>
    <mergeCell ref="A12:B12"/>
    <mergeCell ref="C12:D12"/>
    <mergeCell ref="E12:F12"/>
    <mergeCell ref="A2:J2"/>
    <mergeCell ref="A70:B70"/>
    <mergeCell ref="C70:D70"/>
    <mergeCell ref="E70:F70"/>
    <mergeCell ref="G70:H70"/>
    <mergeCell ref="G12:H12"/>
    <mergeCell ref="A3:J3"/>
    <mergeCell ref="A4:J4"/>
    <mergeCell ref="A5:J5"/>
    <mergeCell ref="I8:J8"/>
    <mergeCell ref="C9:C10"/>
    <mergeCell ref="D9:D10"/>
    <mergeCell ref="E9:E10"/>
    <mergeCell ref="F9:F10"/>
    <mergeCell ref="I70:J70"/>
    <mergeCell ref="H9:H10"/>
  </mergeCells>
  <printOptions horizontalCentered="1"/>
  <pageMargins left="0" right="0" top="0.15748031496062992" bottom="0" header="0.31496062992125984" footer="0.31496062992125984"/>
  <pageSetup paperSize="9" scale="56" fitToWidth="0" orientation="portrait" r:id="rId1"/>
  <headerFooter scaleWithDoc="0" alignWithMargins="0">
    <oddFooter>&amp;C&amp;"Arial,Regular"14</oddFooter>
  </headerFooter>
  <customProperties>
    <customPr name="DVSECTION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7" tint="-0.249977111117893"/>
  </sheetPr>
  <dimension ref="A1:L84"/>
  <sheetViews>
    <sheetView zoomScaleNormal="100" zoomScaleSheetLayoutView="70" workbookViewId="0">
      <pane ySplit="11" topLeftCell="A12" activePane="bottomLeft" state="frozen"/>
      <selection activeCell="E13" sqref="E13"/>
      <selection pane="bottomLeft" activeCell="K15" sqref="K15"/>
    </sheetView>
  </sheetViews>
  <sheetFormatPr defaultColWidth="9.140625" defaultRowHeight="14.25" x14ac:dyDescent="0.2"/>
  <cols>
    <col min="1" max="1" width="15.7109375" style="24" customWidth="1"/>
    <col min="2" max="2" width="7.7109375" style="25" customWidth="1"/>
    <col min="3" max="3" width="9.7109375" style="24" customWidth="1"/>
    <col min="4" max="4" width="22.7109375" style="24" customWidth="1"/>
    <col min="5" max="5" width="9.7109375" style="24" customWidth="1"/>
    <col min="6" max="6" width="22.7109375" style="24" customWidth="1"/>
    <col min="7" max="7" width="9.7109375" style="24" customWidth="1"/>
    <col min="8" max="8" width="22.7109375" style="24" customWidth="1"/>
    <col min="9" max="9" width="9.7109375" style="24" customWidth="1"/>
    <col min="10" max="10" width="22.7109375" style="24" customWidth="1"/>
    <col min="11" max="11" width="24.28515625" style="24" customWidth="1"/>
    <col min="12" max="12" width="11.42578125" style="26" customWidth="1"/>
    <col min="13" max="16384" width="9.140625" style="26"/>
  </cols>
  <sheetData>
    <row r="1" spans="1:12" ht="14.25" customHeight="1" x14ac:dyDescent="0.2"/>
    <row r="3" spans="1:12" s="27" customFormat="1" ht="18" customHeight="1" x14ac:dyDescent="0.25">
      <c r="A3" s="148" t="s">
        <v>72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2" s="27" customFormat="1" ht="18" customHeight="1" x14ac:dyDescent="0.25">
      <c r="A4" s="147" t="s">
        <v>73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2" ht="15" customHeight="1" x14ac:dyDescent="0.2">
      <c r="A5" s="165" t="s">
        <v>34</v>
      </c>
      <c r="B5" s="165"/>
      <c r="C5" s="165"/>
      <c r="D5" s="165"/>
      <c r="E5" s="165"/>
      <c r="F5" s="165"/>
      <c r="G5" s="165"/>
      <c r="H5" s="165"/>
      <c r="I5" s="165"/>
      <c r="J5" s="165"/>
      <c r="K5" s="26"/>
    </row>
    <row r="6" spans="1:12" s="5" customFormat="1" ht="19.5" customHeight="1" x14ac:dyDescent="0.2">
      <c r="A6" s="14"/>
      <c r="J6" s="29"/>
      <c r="K6" s="29"/>
    </row>
    <row r="7" spans="1:12" s="5" customFormat="1" ht="15.75" customHeight="1" thickBot="1" x14ac:dyDescent="0.25">
      <c r="A7" s="14"/>
      <c r="J7" s="30"/>
      <c r="K7" s="30"/>
    </row>
    <row r="8" spans="1:12" s="31" customFormat="1" ht="52.9" customHeight="1" x14ac:dyDescent="0.2">
      <c r="A8" s="166" t="s">
        <v>146</v>
      </c>
      <c r="B8" s="166"/>
      <c r="C8" s="166" t="s">
        <v>0</v>
      </c>
      <c r="D8" s="166"/>
      <c r="E8" s="166" t="s">
        <v>59</v>
      </c>
      <c r="F8" s="166"/>
      <c r="G8" s="166" t="s">
        <v>60</v>
      </c>
      <c r="H8" s="166"/>
      <c r="I8" s="166" t="s">
        <v>61</v>
      </c>
      <c r="J8" s="166"/>
      <c r="K8" s="87"/>
    </row>
    <row r="9" spans="1:12" s="31" customFormat="1" ht="16.5" customHeight="1" x14ac:dyDescent="0.2">
      <c r="A9" s="153"/>
      <c r="B9" s="153"/>
      <c r="C9" s="153">
        <v>451</v>
      </c>
      <c r="D9" s="153"/>
      <c r="E9" s="153">
        <v>452</v>
      </c>
      <c r="F9" s="153"/>
      <c r="G9" s="153">
        <v>453</v>
      </c>
      <c r="H9" s="153"/>
      <c r="I9" s="153">
        <v>454</v>
      </c>
      <c r="J9" s="153"/>
      <c r="K9" s="82"/>
    </row>
    <row r="10" spans="1:12" s="31" customFormat="1" ht="30" customHeight="1" x14ac:dyDescent="0.2">
      <c r="A10" s="153"/>
      <c r="B10" s="153"/>
      <c r="C10" s="153" t="s">
        <v>128</v>
      </c>
      <c r="D10" s="153" t="s">
        <v>117</v>
      </c>
      <c r="E10" s="153" t="s">
        <v>128</v>
      </c>
      <c r="F10" s="153" t="s">
        <v>117</v>
      </c>
      <c r="G10" s="153" t="s">
        <v>128</v>
      </c>
      <c r="H10" s="153" t="s">
        <v>117</v>
      </c>
      <c r="I10" s="153" t="s">
        <v>128</v>
      </c>
      <c r="J10" s="153" t="s">
        <v>117</v>
      </c>
      <c r="K10" s="82"/>
    </row>
    <row r="11" spans="1:12" s="31" customFormat="1" ht="36" customHeight="1" thickBot="1" x14ac:dyDescent="0.25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87"/>
    </row>
    <row r="12" spans="1:12" s="33" customFormat="1" ht="8.25" customHeight="1" x14ac:dyDescent="0.25">
      <c r="A12" s="95"/>
      <c r="B12" s="95"/>
      <c r="C12" s="94"/>
      <c r="D12" s="94"/>
      <c r="E12" s="94"/>
      <c r="F12" s="94"/>
      <c r="G12" s="94"/>
      <c r="H12" s="94"/>
      <c r="I12" s="94"/>
      <c r="J12" s="94"/>
    </row>
    <row r="13" spans="1:12" ht="20.100000000000001" customHeight="1" x14ac:dyDescent="0.2">
      <c r="A13" s="171" t="s">
        <v>127</v>
      </c>
      <c r="B13" s="171"/>
      <c r="C13" s="172">
        <f>'1 '!D14</f>
        <v>5</v>
      </c>
      <c r="D13" s="164"/>
      <c r="E13" s="173">
        <f>'1 '!D15</f>
        <v>1.9</v>
      </c>
      <c r="F13" s="173"/>
      <c r="G13" s="163">
        <f>'1 '!D16</f>
        <v>3</v>
      </c>
      <c r="H13" s="164"/>
      <c r="I13" s="163">
        <f>'1 '!D17</f>
        <v>1.1000000000000001</v>
      </c>
      <c r="J13" s="167"/>
      <c r="K13" s="26"/>
    </row>
    <row r="14" spans="1:12" s="31" customFormat="1" ht="10.5" customHeight="1" x14ac:dyDescent="0.2">
      <c r="B14" s="34"/>
      <c r="C14" s="57"/>
      <c r="D14" s="58"/>
      <c r="E14" s="59"/>
      <c r="F14" s="59"/>
      <c r="G14" s="57"/>
      <c r="H14" s="59"/>
      <c r="I14" s="57"/>
      <c r="J14" s="58"/>
      <c r="K14" s="86"/>
      <c r="L14" s="35"/>
    </row>
    <row r="15" spans="1:12" ht="18.95" customHeight="1" x14ac:dyDescent="0.25">
      <c r="A15" s="188" t="s">
        <v>126</v>
      </c>
      <c r="B15" s="188"/>
      <c r="C15" s="112"/>
      <c r="D15" s="113"/>
      <c r="E15" s="26"/>
      <c r="F15" s="26"/>
      <c r="G15" s="112"/>
      <c r="H15" s="26"/>
      <c r="I15" s="112"/>
      <c r="J15" s="113"/>
      <c r="K15" s="123"/>
      <c r="L15" s="124"/>
    </row>
    <row r="16" spans="1:12" s="31" customFormat="1" ht="9.75" customHeight="1" x14ac:dyDescent="0.2">
      <c r="B16" s="34"/>
      <c r="C16" s="60"/>
      <c r="D16" s="61"/>
      <c r="G16" s="60"/>
      <c r="I16" s="60"/>
      <c r="J16" s="61"/>
      <c r="K16" s="84"/>
      <c r="L16" s="35"/>
    </row>
    <row r="17" spans="1:12" ht="18" customHeight="1" x14ac:dyDescent="0.2">
      <c r="A17" s="121">
        <v>2020</v>
      </c>
      <c r="B17" s="122" t="s">
        <v>20</v>
      </c>
      <c r="C17" s="114">
        <v>88.4</v>
      </c>
      <c r="D17" s="78">
        <v>90</v>
      </c>
      <c r="E17" s="115">
        <v>99.4</v>
      </c>
      <c r="F17" s="115">
        <v>102.7</v>
      </c>
      <c r="G17" s="114">
        <v>113.6</v>
      </c>
      <c r="H17" s="78">
        <v>108.7</v>
      </c>
      <c r="I17" s="114">
        <v>97.8</v>
      </c>
      <c r="J17" s="78">
        <v>100.2</v>
      </c>
      <c r="K17" s="119"/>
      <c r="L17" s="124"/>
    </row>
    <row r="18" spans="1:12" ht="18" customHeight="1" x14ac:dyDescent="0.2">
      <c r="A18" s="121"/>
      <c r="B18" s="122" t="s">
        <v>3</v>
      </c>
      <c r="C18" s="114">
        <v>48.5</v>
      </c>
      <c r="D18" s="78">
        <v>49.4</v>
      </c>
      <c r="E18" s="115">
        <v>59.2</v>
      </c>
      <c r="F18" s="115">
        <v>63</v>
      </c>
      <c r="G18" s="114">
        <v>60.3</v>
      </c>
      <c r="H18" s="78">
        <v>66.8</v>
      </c>
      <c r="I18" s="114">
        <v>63.2</v>
      </c>
      <c r="J18" s="78">
        <v>68.900000000000006</v>
      </c>
      <c r="K18" s="119"/>
      <c r="L18" s="124"/>
    </row>
    <row r="19" spans="1:12" ht="18" customHeight="1" x14ac:dyDescent="0.2">
      <c r="A19" s="121"/>
      <c r="B19" s="122" t="s">
        <v>4</v>
      </c>
      <c r="C19" s="114">
        <v>114.2</v>
      </c>
      <c r="D19" s="78">
        <v>109.1</v>
      </c>
      <c r="E19" s="115">
        <v>108.8</v>
      </c>
      <c r="F19" s="115">
        <v>104.4</v>
      </c>
      <c r="G19" s="114">
        <v>115.6</v>
      </c>
      <c r="H19" s="78">
        <v>116.7</v>
      </c>
      <c r="I19" s="114">
        <v>114.2</v>
      </c>
      <c r="J19" s="78">
        <v>113.3</v>
      </c>
      <c r="K19" s="119"/>
      <c r="L19" s="124"/>
    </row>
    <row r="20" spans="1:12" ht="18" customHeight="1" x14ac:dyDescent="0.2">
      <c r="A20" s="121"/>
      <c r="B20" s="122" t="s">
        <v>125</v>
      </c>
      <c r="C20" s="114">
        <v>110.2</v>
      </c>
      <c r="D20" s="78">
        <v>107.2</v>
      </c>
      <c r="E20" s="115">
        <v>100.9</v>
      </c>
      <c r="F20" s="115">
        <v>97.7</v>
      </c>
      <c r="G20" s="114">
        <v>112.6</v>
      </c>
      <c r="H20" s="78">
        <v>105.5</v>
      </c>
      <c r="I20" s="114">
        <v>116.4</v>
      </c>
      <c r="J20" s="78">
        <v>107.2</v>
      </c>
      <c r="K20" s="119"/>
      <c r="L20" s="124"/>
    </row>
    <row r="21" spans="1:12" ht="18" customHeight="1" x14ac:dyDescent="0.2">
      <c r="A21" s="121"/>
      <c r="B21" s="122"/>
      <c r="C21" s="114"/>
      <c r="D21" s="78"/>
      <c r="E21" s="115"/>
      <c r="F21" s="115"/>
      <c r="G21" s="114"/>
      <c r="H21" s="78"/>
      <c r="I21" s="114"/>
      <c r="J21" s="78"/>
      <c r="K21" s="119"/>
    </row>
    <row r="22" spans="1:12" ht="18" customHeight="1" x14ac:dyDescent="0.2">
      <c r="A22" s="121">
        <v>2021</v>
      </c>
      <c r="B22" s="122" t="s">
        <v>120</v>
      </c>
      <c r="C22" s="114">
        <v>102.6</v>
      </c>
      <c r="D22" s="78">
        <v>98</v>
      </c>
      <c r="E22" s="115">
        <v>96</v>
      </c>
      <c r="F22" s="115">
        <v>98.9</v>
      </c>
      <c r="G22" s="114">
        <v>110.2</v>
      </c>
      <c r="H22" s="78">
        <v>105</v>
      </c>
      <c r="I22" s="114">
        <v>122.7</v>
      </c>
      <c r="J22" s="78">
        <v>108.9</v>
      </c>
      <c r="K22" s="119"/>
      <c r="L22" s="124"/>
    </row>
    <row r="23" spans="1:12" ht="18" customHeight="1" x14ac:dyDescent="0.2">
      <c r="A23" s="121"/>
      <c r="B23" s="122" t="s">
        <v>41</v>
      </c>
      <c r="C23" s="114">
        <v>70</v>
      </c>
      <c r="D23" s="78">
        <v>78.400000000000006</v>
      </c>
      <c r="E23" s="115">
        <v>63.2</v>
      </c>
      <c r="F23" s="115">
        <v>71.8</v>
      </c>
      <c r="G23" s="114">
        <v>73.2</v>
      </c>
      <c r="H23" s="78">
        <v>82.8</v>
      </c>
      <c r="I23" s="114">
        <v>76</v>
      </c>
      <c r="J23" s="78">
        <v>80.599999999999994</v>
      </c>
      <c r="K23" s="119"/>
      <c r="L23" s="124"/>
    </row>
    <row r="24" spans="1:12" ht="18" customHeight="1" x14ac:dyDescent="0.2">
      <c r="A24" s="121"/>
      <c r="B24" s="122" t="s">
        <v>121</v>
      </c>
      <c r="C24" s="114">
        <v>51.9</v>
      </c>
      <c r="D24" s="78">
        <v>49.9</v>
      </c>
      <c r="E24" s="115">
        <v>47.2</v>
      </c>
      <c r="F24" s="115">
        <v>46.2</v>
      </c>
      <c r="G24" s="114">
        <v>51.6</v>
      </c>
      <c r="H24" s="78">
        <v>51.7</v>
      </c>
      <c r="I24" s="114">
        <v>33.1</v>
      </c>
      <c r="J24" s="78">
        <v>32</v>
      </c>
      <c r="K24" s="119"/>
      <c r="L24" s="124"/>
    </row>
    <row r="25" spans="1:12" ht="18" customHeight="1" x14ac:dyDescent="0.2">
      <c r="A25" s="121"/>
      <c r="B25" s="122" t="s">
        <v>82</v>
      </c>
      <c r="C25" s="114">
        <v>121</v>
      </c>
      <c r="D25" s="78">
        <v>116.8</v>
      </c>
      <c r="E25" s="115">
        <v>96.1</v>
      </c>
      <c r="F25" s="115">
        <v>94.7</v>
      </c>
      <c r="G25" s="114">
        <v>109.1</v>
      </c>
      <c r="H25" s="78">
        <v>103.1</v>
      </c>
      <c r="I25" s="114">
        <v>131.1</v>
      </c>
      <c r="J25" s="78">
        <v>107.2</v>
      </c>
      <c r="K25" s="119"/>
      <c r="L25" s="124"/>
    </row>
    <row r="26" spans="1:12" ht="18" customHeight="1" x14ac:dyDescent="0.2">
      <c r="A26" s="121"/>
      <c r="B26" s="122"/>
      <c r="C26" s="114"/>
      <c r="D26" s="78"/>
      <c r="E26" s="115"/>
      <c r="F26" s="115"/>
      <c r="G26" s="114"/>
      <c r="H26" s="78"/>
      <c r="I26" s="114"/>
      <c r="J26" s="78"/>
      <c r="K26" s="119"/>
    </row>
    <row r="27" spans="1:12" ht="18" customHeight="1" x14ac:dyDescent="0.2">
      <c r="A27" s="121">
        <v>2022</v>
      </c>
      <c r="B27" s="122" t="s">
        <v>120</v>
      </c>
      <c r="C27" s="114">
        <v>112</v>
      </c>
      <c r="D27" s="78">
        <v>112.2</v>
      </c>
      <c r="E27" s="115">
        <v>111.8</v>
      </c>
      <c r="F27" s="115">
        <v>113.7</v>
      </c>
      <c r="G27" s="114">
        <v>130.6</v>
      </c>
      <c r="H27" s="78">
        <v>124.5</v>
      </c>
      <c r="I27" s="114">
        <v>105.4</v>
      </c>
      <c r="J27" s="78">
        <v>105.3</v>
      </c>
      <c r="K27" s="119"/>
      <c r="L27" s="124"/>
    </row>
    <row r="28" spans="1:12" ht="18" customHeight="1" x14ac:dyDescent="0.2">
      <c r="A28" s="121"/>
      <c r="B28" s="122" t="s">
        <v>122</v>
      </c>
      <c r="C28" s="114">
        <v>117.2</v>
      </c>
      <c r="D28" s="78">
        <v>126.7</v>
      </c>
      <c r="E28" s="115">
        <v>114.6</v>
      </c>
      <c r="F28" s="115">
        <v>125</v>
      </c>
      <c r="G28" s="114">
        <v>135.5</v>
      </c>
      <c r="H28" s="78">
        <v>152.9</v>
      </c>
      <c r="I28" s="114">
        <v>124.8</v>
      </c>
      <c r="J28" s="78">
        <v>138.30000000000001</v>
      </c>
      <c r="K28" s="119"/>
      <c r="L28" s="124"/>
    </row>
    <row r="29" spans="1:12" ht="18" customHeight="1" x14ac:dyDescent="0.2">
      <c r="A29" s="121"/>
      <c r="B29" s="122" t="s">
        <v>86</v>
      </c>
      <c r="C29" s="114">
        <v>119.5</v>
      </c>
      <c r="D29" s="78">
        <v>114.5</v>
      </c>
      <c r="E29" s="115">
        <v>117.4</v>
      </c>
      <c r="F29" s="115">
        <v>114</v>
      </c>
      <c r="G29" s="114">
        <v>137.19999999999999</v>
      </c>
      <c r="H29" s="78">
        <v>138.69999999999999</v>
      </c>
      <c r="I29" s="114">
        <v>104.2</v>
      </c>
      <c r="J29" s="78">
        <v>106.1</v>
      </c>
      <c r="K29" s="119"/>
      <c r="L29" s="124"/>
    </row>
    <row r="30" spans="1:12" ht="18" customHeight="1" x14ac:dyDescent="0.2">
      <c r="A30" s="121"/>
      <c r="B30" s="122" t="s">
        <v>123</v>
      </c>
      <c r="C30" s="114">
        <v>128.19999999999999</v>
      </c>
      <c r="D30" s="78">
        <v>123.9</v>
      </c>
      <c r="E30" s="115">
        <v>120.8</v>
      </c>
      <c r="F30" s="115">
        <v>114.3</v>
      </c>
      <c r="G30" s="114">
        <v>140.9</v>
      </c>
      <c r="H30" s="78">
        <v>131</v>
      </c>
      <c r="I30" s="114">
        <v>93.9</v>
      </c>
      <c r="J30" s="78">
        <v>84.5</v>
      </c>
      <c r="K30" s="119"/>
      <c r="L30" s="124"/>
    </row>
    <row r="31" spans="1:12" ht="18" customHeight="1" x14ac:dyDescent="0.2">
      <c r="A31" s="121"/>
      <c r="B31" s="122"/>
      <c r="C31" s="114"/>
      <c r="D31" s="78"/>
      <c r="E31" s="115"/>
      <c r="F31" s="115"/>
      <c r="G31" s="114"/>
      <c r="H31" s="78"/>
      <c r="I31" s="114"/>
      <c r="J31" s="78"/>
      <c r="K31" s="119"/>
    </row>
    <row r="32" spans="1:12" ht="18" customHeight="1" x14ac:dyDescent="0.2">
      <c r="A32" s="121">
        <v>2023</v>
      </c>
      <c r="B32" s="122" t="s">
        <v>124</v>
      </c>
      <c r="C32" s="114">
        <v>127.3</v>
      </c>
      <c r="D32" s="78">
        <v>128.6</v>
      </c>
      <c r="E32" s="115">
        <v>125.6</v>
      </c>
      <c r="F32" s="115">
        <v>127.9</v>
      </c>
      <c r="G32" s="114">
        <v>146.80000000000001</v>
      </c>
      <c r="H32" s="78">
        <v>140.1</v>
      </c>
      <c r="I32" s="114">
        <v>100.6</v>
      </c>
      <c r="J32" s="78">
        <v>100.7</v>
      </c>
      <c r="K32" s="119"/>
      <c r="L32" s="124"/>
    </row>
    <row r="33" spans="1:11" s="31" customFormat="1" ht="18" customHeight="1" thickBot="1" x14ac:dyDescent="0.25">
      <c r="A33" s="36"/>
      <c r="B33" s="41"/>
      <c r="C33" s="76"/>
      <c r="D33" s="56"/>
      <c r="E33" s="38"/>
      <c r="F33" s="38"/>
      <c r="G33" s="76"/>
      <c r="H33" s="56"/>
      <c r="I33" s="76"/>
      <c r="J33" s="56"/>
      <c r="K33" s="85"/>
    </row>
    <row r="34" spans="1:11" ht="30" customHeight="1" x14ac:dyDescent="0.2">
      <c r="A34" s="168" t="s">
        <v>47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25"/>
    </row>
    <row r="35" spans="1:11" ht="18" customHeight="1" x14ac:dyDescent="0.2">
      <c r="A35" s="121">
        <v>2020</v>
      </c>
      <c r="B35" s="122" t="s">
        <v>20</v>
      </c>
      <c r="C35" s="114">
        <v>-6.2</v>
      </c>
      <c r="D35" s="78"/>
      <c r="E35" s="115">
        <v>-1.9</v>
      </c>
      <c r="F35" s="115"/>
      <c r="G35" s="114">
        <v>-1</v>
      </c>
      <c r="H35" s="78"/>
      <c r="I35" s="114">
        <v>-1.7</v>
      </c>
      <c r="J35" s="78"/>
      <c r="K35" s="119"/>
    </row>
    <row r="36" spans="1:11" ht="18" customHeight="1" x14ac:dyDescent="0.2">
      <c r="A36" s="121"/>
      <c r="B36" s="122" t="s">
        <v>3</v>
      </c>
      <c r="C36" s="114">
        <v>-50.7</v>
      </c>
      <c r="D36" s="78"/>
      <c r="E36" s="115">
        <v>-46.6</v>
      </c>
      <c r="F36" s="115"/>
      <c r="G36" s="114">
        <v>-47.5</v>
      </c>
      <c r="H36" s="78"/>
      <c r="I36" s="114">
        <v>-41.3</v>
      </c>
      <c r="J36" s="78"/>
      <c r="K36" s="119"/>
    </row>
    <row r="37" spans="1:11" ht="18" customHeight="1" x14ac:dyDescent="0.2">
      <c r="A37" s="121"/>
      <c r="B37" s="122" t="s">
        <v>4</v>
      </c>
      <c r="C37" s="114">
        <v>15.6</v>
      </c>
      <c r="D37" s="78"/>
      <c r="E37" s="115">
        <v>-4.7</v>
      </c>
      <c r="F37" s="115"/>
      <c r="G37" s="114">
        <v>-3.1</v>
      </c>
      <c r="H37" s="78"/>
      <c r="I37" s="114">
        <v>4</v>
      </c>
      <c r="J37" s="78"/>
      <c r="K37" s="119"/>
    </row>
    <row r="38" spans="1:11" ht="18" customHeight="1" x14ac:dyDescent="0.2">
      <c r="A38" s="121"/>
      <c r="B38" s="122" t="s">
        <v>125</v>
      </c>
      <c r="C38" s="114">
        <v>18.8</v>
      </c>
      <c r="D38" s="78"/>
      <c r="E38" s="115">
        <v>-6.6</v>
      </c>
      <c r="F38" s="115"/>
      <c r="G38" s="114">
        <v>-5.4</v>
      </c>
      <c r="H38" s="78"/>
      <c r="I38" s="114">
        <v>5.5</v>
      </c>
      <c r="J38" s="78"/>
      <c r="K38" s="119"/>
    </row>
    <row r="39" spans="1:11" ht="18" customHeight="1" x14ac:dyDescent="0.2">
      <c r="A39" s="121"/>
      <c r="B39" s="122"/>
      <c r="C39" s="114"/>
      <c r="D39" s="78"/>
      <c r="E39" s="115"/>
      <c r="F39" s="115"/>
      <c r="G39" s="114"/>
      <c r="H39" s="78"/>
      <c r="I39" s="114"/>
      <c r="J39" s="78"/>
      <c r="K39" s="119"/>
    </row>
    <row r="40" spans="1:11" ht="18" customHeight="1" x14ac:dyDescent="0.2">
      <c r="A40" s="121">
        <v>2021</v>
      </c>
      <c r="B40" s="122" t="s">
        <v>120</v>
      </c>
      <c r="C40" s="114">
        <v>16.100000000000001</v>
      </c>
      <c r="D40" s="78"/>
      <c r="E40" s="115">
        <v>-3.5</v>
      </c>
      <c r="F40" s="115"/>
      <c r="G40" s="114">
        <v>-3</v>
      </c>
      <c r="H40" s="78"/>
      <c r="I40" s="114">
        <v>25.5</v>
      </c>
      <c r="J40" s="78"/>
      <c r="K40" s="119"/>
    </row>
    <row r="41" spans="1:11" ht="18" customHeight="1" x14ac:dyDescent="0.2">
      <c r="A41" s="121"/>
      <c r="B41" s="122" t="s">
        <v>41</v>
      </c>
      <c r="C41" s="114">
        <v>44.3</v>
      </c>
      <c r="D41" s="78"/>
      <c r="E41" s="115">
        <v>6.8</v>
      </c>
      <c r="F41" s="115"/>
      <c r="G41" s="114">
        <v>21.4</v>
      </c>
      <c r="H41" s="78"/>
      <c r="I41" s="114">
        <v>20.3</v>
      </c>
      <c r="J41" s="78"/>
      <c r="K41" s="119"/>
    </row>
    <row r="42" spans="1:11" ht="18" customHeight="1" x14ac:dyDescent="0.2">
      <c r="A42" s="121"/>
      <c r="B42" s="122" t="s">
        <v>121</v>
      </c>
      <c r="C42" s="114">
        <v>-54.6</v>
      </c>
      <c r="D42" s="78"/>
      <c r="E42" s="115">
        <v>-56.6</v>
      </c>
      <c r="F42" s="115"/>
      <c r="G42" s="114">
        <v>-55.4</v>
      </c>
      <c r="H42" s="78"/>
      <c r="I42" s="114">
        <v>-71.099999999999994</v>
      </c>
      <c r="J42" s="78"/>
      <c r="K42" s="119"/>
    </row>
    <row r="43" spans="1:11" ht="18" customHeight="1" x14ac:dyDescent="0.2">
      <c r="A43" s="121"/>
      <c r="B43" s="122" t="s">
        <v>82</v>
      </c>
      <c r="C43" s="114">
        <v>9.8000000000000007</v>
      </c>
      <c r="D43" s="78"/>
      <c r="E43" s="115">
        <v>-4.7</v>
      </c>
      <c r="F43" s="115"/>
      <c r="G43" s="114">
        <v>-3.1</v>
      </c>
      <c r="H43" s="78"/>
      <c r="I43" s="114">
        <v>12.6</v>
      </c>
      <c r="J43" s="78"/>
      <c r="K43" s="119"/>
    </row>
    <row r="44" spans="1:11" ht="18" customHeight="1" x14ac:dyDescent="0.2">
      <c r="A44" s="121"/>
      <c r="B44" s="122"/>
      <c r="C44" s="114"/>
      <c r="D44" s="78"/>
      <c r="E44" s="115"/>
      <c r="F44" s="115"/>
      <c r="G44" s="114"/>
      <c r="H44" s="78"/>
      <c r="I44" s="114"/>
      <c r="J44" s="78"/>
      <c r="K44" s="119"/>
    </row>
    <row r="45" spans="1:11" ht="18" customHeight="1" x14ac:dyDescent="0.2">
      <c r="A45" s="121">
        <v>2022</v>
      </c>
      <c r="B45" s="122" t="s">
        <v>120</v>
      </c>
      <c r="C45" s="114">
        <v>9.1</v>
      </c>
      <c r="D45" s="78"/>
      <c r="E45" s="115">
        <v>16.5</v>
      </c>
      <c r="F45" s="115"/>
      <c r="G45" s="114">
        <v>18.5</v>
      </c>
      <c r="H45" s="78"/>
      <c r="I45" s="114">
        <v>-14.1</v>
      </c>
      <c r="J45" s="78"/>
      <c r="K45" s="119"/>
    </row>
    <row r="46" spans="1:11" ht="18" customHeight="1" x14ac:dyDescent="0.2">
      <c r="A46" s="121"/>
      <c r="B46" s="122" t="s">
        <v>122</v>
      </c>
      <c r="C46" s="114">
        <v>67.400000000000006</v>
      </c>
      <c r="D46" s="78"/>
      <c r="E46" s="115">
        <v>81.400000000000006</v>
      </c>
      <c r="F46" s="115"/>
      <c r="G46" s="114">
        <v>85</v>
      </c>
      <c r="H46" s="78"/>
      <c r="I46" s="114">
        <v>64.2</v>
      </c>
      <c r="J46" s="78"/>
      <c r="K46" s="119"/>
    </row>
    <row r="47" spans="1:11" ht="18" customHeight="1" x14ac:dyDescent="0.2">
      <c r="A47" s="121"/>
      <c r="B47" s="122" t="s">
        <v>4</v>
      </c>
      <c r="C47" s="114">
        <v>130.30000000000001</v>
      </c>
      <c r="D47" s="78"/>
      <c r="E47" s="115">
        <v>148.80000000000001</v>
      </c>
      <c r="F47" s="115"/>
      <c r="G47" s="114">
        <v>166.2</v>
      </c>
      <c r="H47" s="78"/>
      <c r="I47" s="114">
        <v>215.1</v>
      </c>
      <c r="J47" s="78"/>
      <c r="K47" s="119"/>
    </row>
    <row r="48" spans="1:11" ht="18" customHeight="1" x14ac:dyDescent="0.2">
      <c r="A48" s="121"/>
      <c r="B48" s="122" t="s">
        <v>123</v>
      </c>
      <c r="C48" s="114">
        <v>5.9</v>
      </c>
      <c r="D48" s="78"/>
      <c r="E48" s="115">
        <v>25.6</v>
      </c>
      <c r="F48" s="115"/>
      <c r="G48" s="114">
        <v>29.2</v>
      </c>
      <c r="H48" s="78"/>
      <c r="I48" s="114">
        <v>-28.3</v>
      </c>
      <c r="J48" s="78"/>
      <c r="K48" s="119"/>
    </row>
    <row r="49" spans="1:12" ht="18" customHeight="1" x14ac:dyDescent="0.2">
      <c r="A49" s="121"/>
      <c r="B49" s="122"/>
      <c r="C49" s="114"/>
      <c r="D49" s="78"/>
      <c r="E49" s="115"/>
      <c r="F49" s="115"/>
      <c r="G49" s="114"/>
      <c r="H49" s="78"/>
      <c r="I49" s="114"/>
      <c r="J49" s="78"/>
      <c r="K49" s="119"/>
    </row>
    <row r="50" spans="1:12" ht="18" customHeight="1" x14ac:dyDescent="0.2">
      <c r="A50" s="121">
        <v>2023</v>
      </c>
      <c r="B50" s="122" t="s">
        <v>124</v>
      </c>
      <c r="C50" s="114">
        <v>13.7</v>
      </c>
      <c r="D50" s="78"/>
      <c r="E50" s="115">
        <v>12.3</v>
      </c>
      <c r="F50" s="115"/>
      <c r="G50" s="114">
        <v>12.4</v>
      </c>
      <c r="H50" s="78"/>
      <c r="I50" s="114">
        <v>-4.5999999999999996</v>
      </c>
      <c r="J50" s="78"/>
      <c r="K50" s="119"/>
    </row>
    <row r="51" spans="1:12" ht="18" customHeight="1" thickBot="1" x14ac:dyDescent="0.25">
      <c r="A51" s="121"/>
      <c r="B51" s="122"/>
      <c r="C51" s="116"/>
      <c r="D51" s="79"/>
      <c r="E51" s="115"/>
      <c r="F51" s="115"/>
      <c r="G51" s="116"/>
      <c r="H51" s="79"/>
      <c r="I51" s="116"/>
      <c r="J51" s="79"/>
      <c r="K51" s="119"/>
    </row>
    <row r="52" spans="1:12" s="31" customFormat="1" ht="31.5" customHeight="1" x14ac:dyDescent="0.2">
      <c r="A52" s="179" t="s">
        <v>49</v>
      </c>
      <c r="B52" s="179"/>
      <c r="C52" s="179"/>
      <c r="D52" s="179"/>
      <c r="E52" s="179"/>
      <c r="F52" s="179"/>
      <c r="G52" s="179"/>
      <c r="H52" s="179"/>
      <c r="I52" s="179"/>
      <c r="J52" s="179"/>
      <c r="K52" s="88"/>
    </row>
    <row r="53" spans="1:12" ht="18" customHeight="1" x14ac:dyDescent="0.2">
      <c r="A53" s="121">
        <v>2020</v>
      </c>
      <c r="B53" s="122" t="s">
        <v>20</v>
      </c>
      <c r="C53" s="114">
        <v>-4.7</v>
      </c>
      <c r="D53" s="78">
        <v>-1.5</v>
      </c>
      <c r="E53" s="115">
        <v>-8</v>
      </c>
      <c r="F53" s="115">
        <v>-2.8</v>
      </c>
      <c r="G53" s="114">
        <v>-4.5999999999999996</v>
      </c>
      <c r="H53" s="78">
        <v>-3.9</v>
      </c>
      <c r="I53" s="115">
        <v>-11.4</v>
      </c>
      <c r="J53" s="55">
        <v>-3.2</v>
      </c>
      <c r="K53" s="119"/>
      <c r="L53" s="124"/>
    </row>
    <row r="54" spans="1:12" ht="18" customHeight="1" x14ac:dyDescent="0.2">
      <c r="A54" s="121"/>
      <c r="B54" s="122" t="s">
        <v>3</v>
      </c>
      <c r="C54" s="114">
        <v>-45.1</v>
      </c>
      <c r="D54" s="78">
        <v>-45.1</v>
      </c>
      <c r="E54" s="115">
        <v>-40.5</v>
      </c>
      <c r="F54" s="115">
        <v>-38.700000000000003</v>
      </c>
      <c r="G54" s="114">
        <v>-46.9</v>
      </c>
      <c r="H54" s="78">
        <v>-38.5</v>
      </c>
      <c r="I54" s="115">
        <v>-35.4</v>
      </c>
      <c r="J54" s="55">
        <v>-31.3</v>
      </c>
      <c r="K54" s="119"/>
      <c r="L54" s="124"/>
    </row>
    <row r="55" spans="1:12" ht="18" customHeight="1" x14ac:dyDescent="0.2">
      <c r="A55" s="121"/>
      <c r="B55" s="122" t="s">
        <v>4</v>
      </c>
      <c r="C55" s="114">
        <v>135.5</v>
      </c>
      <c r="D55" s="78">
        <v>120.8</v>
      </c>
      <c r="E55" s="115">
        <v>83.8</v>
      </c>
      <c r="F55" s="115">
        <v>65.8</v>
      </c>
      <c r="G55" s="114">
        <v>91.6</v>
      </c>
      <c r="H55" s="78">
        <v>74.599999999999994</v>
      </c>
      <c r="I55" s="115">
        <v>80.7</v>
      </c>
      <c r="J55" s="55">
        <v>64.400000000000006</v>
      </c>
      <c r="K55" s="119"/>
      <c r="L55" s="124"/>
    </row>
    <row r="56" spans="1:12" ht="18" customHeight="1" x14ac:dyDescent="0.2">
      <c r="A56" s="121"/>
      <c r="B56" s="122" t="s">
        <v>125</v>
      </c>
      <c r="C56" s="114">
        <v>-3.5</v>
      </c>
      <c r="D56" s="78">
        <v>-1.8</v>
      </c>
      <c r="E56" s="115">
        <v>-7.2</v>
      </c>
      <c r="F56" s="115">
        <v>-6.5</v>
      </c>
      <c r="G56" s="114">
        <v>-2.6</v>
      </c>
      <c r="H56" s="78">
        <v>-9.5</v>
      </c>
      <c r="I56" s="115">
        <v>1.9</v>
      </c>
      <c r="J56" s="55">
        <v>-5.3</v>
      </c>
      <c r="K56" s="119"/>
      <c r="L56" s="124"/>
    </row>
    <row r="57" spans="1:12" ht="18" customHeight="1" x14ac:dyDescent="0.2">
      <c r="A57" s="121"/>
      <c r="B57" s="122"/>
      <c r="C57" s="114"/>
      <c r="D57" s="78"/>
      <c r="E57" s="115"/>
      <c r="F57" s="115"/>
      <c r="G57" s="114"/>
      <c r="H57" s="78"/>
      <c r="I57" s="115"/>
      <c r="J57" s="55"/>
      <c r="K57" s="119"/>
    </row>
    <row r="58" spans="1:12" ht="18" customHeight="1" x14ac:dyDescent="0.2">
      <c r="A58" s="121">
        <v>2021</v>
      </c>
      <c r="B58" s="122" t="s">
        <v>120</v>
      </c>
      <c r="C58" s="114">
        <v>-6.9</v>
      </c>
      <c r="D58" s="78">
        <v>-8.6</v>
      </c>
      <c r="E58" s="115">
        <v>-4.9000000000000004</v>
      </c>
      <c r="F58" s="115">
        <v>1.3</v>
      </c>
      <c r="G58" s="114">
        <v>-2.1</v>
      </c>
      <c r="H58" s="78">
        <v>-0.5</v>
      </c>
      <c r="I58" s="115">
        <v>5.4</v>
      </c>
      <c r="J58" s="55">
        <v>1.6</v>
      </c>
      <c r="K58" s="119"/>
      <c r="L58" s="124"/>
    </row>
    <row r="59" spans="1:12" ht="18" customHeight="1" x14ac:dyDescent="0.2">
      <c r="A59" s="121"/>
      <c r="B59" s="122" t="s">
        <v>41</v>
      </c>
      <c r="C59" s="114">
        <v>-31.8</v>
      </c>
      <c r="D59" s="78">
        <v>-19.899999999999999</v>
      </c>
      <c r="E59" s="115">
        <v>-34.200000000000003</v>
      </c>
      <c r="F59" s="115">
        <v>-27.4</v>
      </c>
      <c r="G59" s="114">
        <v>-33.6</v>
      </c>
      <c r="H59" s="78">
        <v>-21.2</v>
      </c>
      <c r="I59" s="115">
        <v>-38.1</v>
      </c>
      <c r="J59" s="55">
        <v>-26</v>
      </c>
      <c r="K59" s="119"/>
      <c r="L59" s="124"/>
    </row>
    <row r="60" spans="1:12" ht="18" customHeight="1" x14ac:dyDescent="0.2">
      <c r="A60" s="121"/>
      <c r="B60" s="122" t="s">
        <v>121</v>
      </c>
      <c r="C60" s="114">
        <v>-25.9</v>
      </c>
      <c r="D60" s="78">
        <v>-36.299999999999997</v>
      </c>
      <c r="E60" s="115">
        <v>-25.3</v>
      </c>
      <c r="F60" s="115">
        <v>-35.700000000000003</v>
      </c>
      <c r="G60" s="114">
        <v>-29.6</v>
      </c>
      <c r="H60" s="78">
        <v>-37.5</v>
      </c>
      <c r="I60" s="115">
        <v>-56.5</v>
      </c>
      <c r="J60" s="55">
        <v>-60.4</v>
      </c>
      <c r="K60" s="119"/>
      <c r="L60" s="124"/>
    </row>
    <row r="61" spans="1:12" ht="18" customHeight="1" x14ac:dyDescent="0.2">
      <c r="A61" s="121"/>
      <c r="B61" s="122" t="s">
        <v>5</v>
      </c>
      <c r="C61" s="114">
        <v>133.30000000000001</v>
      </c>
      <c r="D61" s="78">
        <v>133.80000000000001</v>
      </c>
      <c r="E61" s="115">
        <v>103.6</v>
      </c>
      <c r="F61" s="115">
        <v>105.2</v>
      </c>
      <c r="G61" s="114">
        <v>111.7</v>
      </c>
      <c r="H61" s="78">
        <v>99.3</v>
      </c>
      <c r="I61" s="115">
        <v>296.5</v>
      </c>
      <c r="J61" s="55">
        <v>235.2</v>
      </c>
      <c r="K61" s="119"/>
      <c r="L61" s="124"/>
    </row>
    <row r="62" spans="1:12" ht="18" customHeight="1" x14ac:dyDescent="0.2">
      <c r="A62" s="121"/>
      <c r="B62" s="122"/>
      <c r="C62" s="114"/>
      <c r="D62" s="78"/>
      <c r="E62" s="115"/>
      <c r="F62" s="115"/>
      <c r="G62" s="114"/>
      <c r="H62" s="78"/>
      <c r="I62" s="115"/>
      <c r="J62" s="55"/>
      <c r="K62" s="119"/>
    </row>
    <row r="63" spans="1:12" ht="18" customHeight="1" x14ac:dyDescent="0.2">
      <c r="A63" s="121">
        <v>2022</v>
      </c>
      <c r="B63" s="122" t="s">
        <v>120</v>
      </c>
      <c r="C63" s="114">
        <v>-7.5</v>
      </c>
      <c r="D63" s="78">
        <v>-3.9</v>
      </c>
      <c r="E63" s="115">
        <v>16.3</v>
      </c>
      <c r="F63" s="115">
        <v>20.100000000000001</v>
      </c>
      <c r="G63" s="114">
        <v>19.7</v>
      </c>
      <c r="H63" s="78">
        <v>20.8</v>
      </c>
      <c r="I63" s="115">
        <v>-19.600000000000001</v>
      </c>
      <c r="J63" s="55">
        <v>-1.8</v>
      </c>
      <c r="K63" s="119"/>
      <c r="L63" s="124"/>
    </row>
    <row r="64" spans="1:12" ht="18" customHeight="1" x14ac:dyDescent="0.2">
      <c r="A64" s="121"/>
      <c r="B64" s="122" t="s">
        <v>122</v>
      </c>
      <c r="C64" s="114">
        <v>4.7</v>
      </c>
      <c r="D64" s="78">
        <v>13</v>
      </c>
      <c r="E64" s="115">
        <v>2.5</v>
      </c>
      <c r="F64" s="115">
        <v>10</v>
      </c>
      <c r="G64" s="114">
        <v>3.7</v>
      </c>
      <c r="H64" s="78">
        <v>22.8</v>
      </c>
      <c r="I64" s="115">
        <v>18.3</v>
      </c>
      <c r="J64" s="55">
        <v>31.3</v>
      </c>
      <c r="K64" s="119"/>
      <c r="L64" s="124"/>
    </row>
    <row r="65" spans="1:12" ht="18" customHeight="1" x14ac:dyDescent="0.2">
      <c r="A65" s="121"/>
      <c r="B65" s="122" t="s">
        <v>4</v>
      </c>
      <c r="C65" s="114">
        <v>1.9</v>
      </c>
      <c r="D65" s="78">
        <v>-9.6999999999999993</v>
      </c>
      <c r="E65" s="115">
        <v>2.5</v>
      </c>
      <c r="F65" s="115">
        <v>-8.9</v>
      </c>
      <c r="G65" s="114">
        <v>1.3</v>
      </c>
      <c r="H65" s="78">
        <v>-9.3000000000000007</v>
      </c>
      <c r="I65" s="115">
        <v>-16.5</v>
      </c>
      <c r="J65" s="55">
        <v>-23.2</v>
      </c>
      <c r="K65" s="119"/>
      <c r="L65" s="124"/>
    </row>
    <row r="66" spans="1:12" ht="18" customHeight="1" x14ac:dyDescent="0.2">
      <c r="A66" s="121"/>
      <c r="B66" s="122" t="s">
        <v>123</v>
      </c>
      <c r="C66" s="114">
        <v>7.3</v>
      </c>
      <c r="D66" s="78">
        <v>8.1999999999999993</v>
      </c>
      <c r="E66" s="115">
        <v>2.8</v>
      </c>
      <c r="F66" s="115">
        <v>0.3</v>
      </c>
      <c r="G66" s="114">
        <v>2.7</v>
      </c>
      <c r="H66" s="78">
        <v>-5.5</v>
      </c>
      <c r="I66" s="115">
        <v>-9.8000000000000007</v>
      </c>
      <c r="J66" s="55">
        <v>-20.399999999999999</v>
      </c>
      <c r="K66" s="119"/>
      <c r="L66" s="124"/>
    </row>
    <row r="67" spans="1:12" ht="18" customHeight="1" x14ac:dyDescent="0.2">
      <c r="A67" s="121"/>
      <c r="B67" s="122"/>
      <c r="C67" s="114"/>
      <c r="D67" s="78"/>
      <c r="E67" s="115"/>
      <c r="F67" s="115"/>
      <c r="G67" s="114"/>
      <c r="H67" s="78"/>
      <c r="I67" s="115"/>
      <c r="J67" s="55"/>
      <c r="K67" s="119"/>
    </row>
    <row r="68" spans="1:12" ht="18" customHeight="1" x14ac:dyDescent="0.2">
      <c r="A68" s="121">
        <v>2023</v>
      </c>
      <c r="B68" s="122" t="s">
        <v>124</v>
      </c>
      <c r="C68" s="114">
        <v>-0.7</v>
      </c>
      <c r="D68" s="78">
        <v>3.8</v>
      </c>
      <c r="E68" s="115">
        <v>4</v>
      </c>
      <c r="F68" s="115">
        <v>11.9</v>
      </c>
      <c r="G68" s="114">
        <v>4.0999999999999996</v>
      </c>
      <c r="H68" s="78">
        <v>7</v>
      </c>
      <c r="I68" s="115">
        <v>7.1</v>
      </c>
      <c r="J68" s="55">
        <v>19.2</v>
      </c>
      <c r="K68" s="119"/>
      <c r="L68" s="124"/>
    </row>
    <row r="69" spans="1:12" ht="18" customHeight="1" thickBot="1" x14ac:dyDescent="0.25">
      <c r="A69" s="121"/>
      <c r="B69" s="122"/>
      <c r="C69" s="114"/>
      <c r="D69" s="78"/>
      <c r="E69" s="115"/>
      <c r="F69" s="115"/>
      <c r="G69" s="114"/>
      <c r="H69" s="78"/>
      <c r="I69" s="115"/>
      <c r="J69" s="55"/>
      <c r="K69" s="119"/>
    </row>
    <row r="70" spans="1:12" s="31" customFormat="1" ht="6" hidden="1" customHeight="1" thickBot="1" x14ac:dyDescent="0.25">
      <c r="A70" s="36"/>
      <c r="C70" s="50"/>
      <c r="D70" s="51"/>
      <c r="E70" s="50"/>
      <c r="F70" s="51"/>
      <c r="G70" s="50"/>
      <c r="H70" s="51"/>
      <c r="I70" s="50"/>
      <c r="J70" s="51"/>
      <c r="K70" s="85"/>
    </row>
    <row r="71" spans="1:12" s="31" customFormat="1" ht="25.9" customHeight="1" x14ac:dyDescent="0.2">
      <c r="A71" s="180" t="s">
        <v>30</v>
      </c>
      <c r="B71" s="181"/>
      <c r="C71" s="186" t="s">
        <v>31</v>
      </c>
      <c r="D71" s="181"/>
      <c r="E71" s="184" t="s">
        <v>62</v>
      </c>
      <c r="F71" s="184"/>
      <c r="G71" s="175" t="s">
        <v>53</v>
      </c>
      <c r="H71" s="176"/>
      <c r="I71" s="175" t="s">
        <v>54</v>
      </c>
      <c r="J71" s="176"/>
      <c r="K71" s="89"/>
    </row>
    <row r="72" spans="1:12" s="31" customFormat="1" ht="25.9" customHeight="1" thickBot="1" x14ac:dyDescent="0.25">
      <c r="A72" s="182"/>
      <c r="B72" s="183"/>
      <c r="C72" s="187"/>
      <c r="D72" s="183"/>
      <c r="E72" s="185"/>
      <c r="F72" s="185"/>
      <c r="G72" s="177"/>
      <c r="H72" s="178"/>
      <c r="I72" s="177"/>
      <c r="J72" s="178"/>
      <c r="K72" s="89"/>
    </row>
    <row r="73" spans="1:12" ht="16.5" hidden="1" customHeight="1" x14ac:dyDescent="0.2">
      <c r="A73" s="18" t="s">
        <v>48</v>
      </c>
      <c r="B73" s="15"/>
      <c r="C73" s="13"/>
      <c r="D73" s="13"/>
      <c r="E73" s="13"/>
      <c r="F73" s="13"/>
      <c r="G73" s="13"/>
      <c r="H73" s="13"/>
      <c r="I73" s="13"/>
      <c r="J73" s="13"/>
      <c r="K73" s="13"/>
    </row>
    <row r="74" spans="1:12" ht="21.95" customHeight="1" x14ac:dyDescent="0.2">
      <c r="A74" s="13" t="s">
        <v>44</v>
      </c>
      <c r="B74" s="15"/>
      <c r="C74" s="13"/>
      <c r="D74" s="13"/>
      <c r="E74" s="13"/>
      <c r="F74" s="13"/>
      <c r="G74" s="13"/>
      <c r="H74" s="13"/>
      <c r="I74" s="13"/>
      <c r="J74" s="13"/>
      <c r="K74" s="13"/>
    </row>
    <row r="75" spans="1:12" ht="16.5" x14ac:dyDescent="0.2">
      <c r="A75" s="24" t="s">
        <v>143</v>
      </c>
      <c r="B75" s="16"/>
      <c r="C75" s="16"/>
      <c r="D75" s="16"/>
      <c r="E75" s="16"/>
      <c r="F75" s="16"/>
      <c r="G75" s="16"/>
      <c r="H75" s="16"/>
      <c r="I75" s="16"/>
      <c r="J75" s="16"/>
      <c r="K75" s="26"/>
    </row>
    <row r="76" spans="1:12" ht="33" customHeight="1" x14ac:dyDescent="0.2">
      <c r="A76" s="174" t="s">
        <v>50</v>
      </c>
      <c r="B76" s="174"/>
      <c r="C76" s="174"/>
      <c r="D76" s="174"/>
      <c r="E76" s="174"/>
      <c r="F76" s="174"/>
      <c r="G76" s="174"/>
      <c r="H76" s="174"/>
      <c r="I76" s="174"/>
      <c r="J76" s="174"/>
      <c r="K76" s="83"/>
    </row>
    <row r="77" spans="1:12" ht="15" x14ac:dyDescent="0.2">
      <c r="A77" s="64"/>
      <c r="B77" s="6"/>
      <c r="C77" s="5"/>
      <c r="D77" s="5"/>
      <c r="E77" s="5"/>
      <c r="F77" s="5"/>
      <c r="G77" s="5"/>
      <c r="H77" s="5"/>
      <c r="I77" s="5"/>
      <c r="J77" s="5"/>
      <c r="K77" s="5"/>
      <c r="L77" s="34"/>
    </row>
    <row r="78" spans="1:12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2" ht="15" x14ac:dyDescent="0.2">
      <c r="A79" s="34"/>
      <c r="B79" s="34"/>
      <c r="C79" s="34"/>
      <c r="D79" s="34"/>
      <c r="E79" s="34"/>
      <c r="F79" s="34"/>
      <c r="G79" s="34"/>
      <c r="H79" s="34"/>
    </row>
    <row r="82" spans="1:11" x14ac:dyDescent="0.2">
      <c r="I82" s="66"/>
      <c r="J82" s="66"/>
      <c r="K82" s="66"/>
    </row>
    <row r="84" spans="1:11" x14ac:dyDescent="0.2">
      <c r="A84" s="66"/>
      <c r="B84" s="66"/>
      <c r="C84" s="66"/>
      <c r="D84" s="66"/>
      <c r="E84" s="66"/>
      <c r="F84" s="66"/>
      <c r="G84" s="66"/>
      <c r="H84" s="66"/>
    </row>
  </sheetData>
  <sheetProtection algorithmName="SHA-512" hashValue="KBQspEaf9a8WBf6KbIHJ2iNq78L5TPAWHSm2BrVYhSFZJVEb6Vd0ijKTUW8DmR6Jg8iWRVECDLGxwtZ041b8IA==" saltValue="jd8EqT0kx+HF5nYslicSbQ==" spinCount="100000" sheet="1" objects="1" scenarios="1"/>
  <mergeCells count="34">
    <mergeCell ref="A3:J3"/>
    <mergeCell ref="D10:D11"/>
    <mergeCell ref="I10:I11"/>
    <mergeCell ref="A15:B15"/>
    <mergeCell ref="I9:J9"/>
    <mergeCell ref="H10:H11"/>
    <mergeCell ref="E8:F8"/>
    <mergeCell ref="G8:H8"/>
    <mergeCell ref="C10:C11"/>
    <mergeCell ref="C8:D8"/>
    <mergeCell ref="J10:J11"/>
    <mergeCell ref="A13:B13"/>
    <mergeCell ref="G10:G11"/>
    <mergeCell ref="F10:F11"/>
    <mergeCell ref="A4:J4"/>
    <mergeCell ref="G9:H9"/>
    <mergeCell ref="I13:J13"/>
    <mergeCell ref="A8:B11"/>
    <mergeCell ref="A5:J5"/>
    <mergeCell ref="I8:J8"/>
    <mergeCell ref="C9:D9"/>
    <mergeCell ref="C13:D13"/>
    <mergeCell ref="E13:F13"/>
    <mergeCell ref="G13:H13"/>
    <mergeCell ref="E9:F9"/>
    <mergeCell ref="E10:E11"/>
    <mergeCell ref="A76:J76"/>
    <mergeCell ref="G71:H72"/>
    <mergeCell ref="A34:J34"/>
    <mergeCell ref="A52:J52"/>
    <mergeCell ref="A71:B72"/>
    <mergeCell ref="E71:F72"/>
    <mergeCell ref="I71:J72"/>
    <mergeCell ref="C71:D72"/>
  </mergeCells>
  <printOptions horizontalCentered="1"/>
  <pageMargins left="0" right="0" top="0.15748031496062992" bottom="0" header="0.31496062992125984" footer="0.31496062992125984"/>
  <pageSetup paperSize="9" scale="56" fitToWidth="0" orientation="portrait" r:id="rId1"/>
  <headerFooter scaleWithDoc="0" alignWithMargins="0">
    <oddFooter>&amp;C&amp;"Arial,Regular"15</oddFooter>
  </headerFooter>
  <colBreaks count="1" manualBreakCount="1">
    <brk id="11" max="1048575" man="1"/>
  </colBreaks>
  <customProperties>
    <customPr name="DVSECTION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theme="1"/>
  </sheetPr>
  <dimension ref="A1:Q82"/>
  <sheetViews>
    <sheetView zoomScaleNormal="100" workbookViewId="0">
      <pane ySplit="11" topLeftCell="A12" activePane="bottomLeft" state="frozen"/>
      <selection activeCell="E13" sqref="E13"/>
      <selection pane="bottomLeft" activeCell="K20" sqref="K20"/>
    </sheetView>
  </sheetViews>
  <sheetFormatPr defaultColWidth="9.140625" defaultRowHeight="14.25" x14ac:dyDescent="0.2"/>
  <cols>
    <col min="1" max="1" width="15.7109375" style="24" customWidth="1"/>
    <col min="2" max="2" width="7.7109375" style="25" customWidth="1"/>
    <col min="3" max="3" width="9.7109375" style="24" customWidth="1"/>
    <col min="4" max="4" width="22.7109375" style="24" customWidth="1"/>
    <col min="5" max="5" width="9.7109375" style="24" customWidth="1"/>
    <col min="6" max="6" width="22.7109375" style="24" customWidth="1"/>
    <col min="7" max="7" width="9.7109375" style="24" customWidth="1"/>
    <col min="8" max="8" width="22.7109375" style="24" customWidth="1"/>
    <col min="9" max="9" width="9.7109375" style="24" customWidth="1"/>
    <col min="10" max="10" width="22.7109375" style="24" customWidth="1"/>
    <col min="11" max="11" width="11.42578125" style="26" customWidth="1"/>
    <col min="12" max="12" width="10.7109375" style="26" customWidth="1"/>
    <col min="13" max="13" width="9.7109375" style="26" bestFit="1" customWidth="1"/>
    <col min="14" max="14" width="10.28515625" style="26" bestFit="1" customWidth="1"/>
    <col min="15" max="15" width="9.7109375" style="26" bestFit="1" customWidth="1"/>
    <col min="16" max="16" width="10" style="26" bestFit="1" customWidth="1"/>
    <col min="17" max="17" width="9.7109375" style="26" customWidth="1"/>
    <col min="18" max="16384" width="9.140625" style="26"/>
  </cols>
  <sheetData>
    <row r="1" spans="1:17" ht="14.25" customHeight="1" x14ac:dyDescent="0.2"/>
    <row r="2" spans="1:17" ht="11.25" customHeight="1" x14ac:dyDescent="0.2"/>
    <row r="3" spans="1:17" s="27" customFormat="1" ht="18" customHeight="1" x14ac:dyDescent="0.25">
      <c r="A3" s="148" t="s">
        <v>74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7" s="27" customFormat="1" ht="18" customHeight="1" x14ac:dyDescent="0.25">
      <c r="A4" s="147" t="s">
        <v>75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7" ht="15" customHeight="1" x14ac:dyDescent="0.2">
      <c r="A5" s="165" t="s">
        <v>34</v>
      </c>
      <c r="B5" s="165"/>
      <c r="C5" s="165"/>
      <c r="D5" s="165"/>
      <c r="E5" s="165"/>
      <c r="F5" s="165"/>
      <c r="G5" s="165"/>
      <c r="H5" s="165"/>
      <c r="I5" s="165"/>
      <c r="J5" s="165"/>
    </row>
    <row r="6" spans="1:17" s="5" customFormat="1" ht="15" customHeight="1" x14ac:dyDescent="0.2">
      <c r="A6" s="14"/>
    </row>
    <row r="7" spans="1:17" s="5" customFormat="1" ht="13.5" thickBot="1" x14ac:dyDescent="0.25">
      <c r="A7" s="14"/>
    </row>
    <row r="8" spans="1:17" s="31" customFormat="1" ht="52.9" customHeight="1" x14ac:dyDescent="0.2">
      <c r="A8" s="166" t="s">
        <v>147</v>
      </c>
      <c r="B8" s="166"/>
      <c r="C8" s="166" t="s">
        <v>152</v>
      </c>
      <c r="D8" s="166"/>
      <c r="E8" s="166" t="s">
        <v>153</v>
      </c>
      <c r="F8" s="166"/>
      <c r="G8" s="166" t="s">
        <v>63</v>
      </c>
      <c r="H8" s="166"/>
      <c r="I8" s="166" t="s">
        <v>14</v>
      </c>
      <c r="J8" s="166"/>
      <c r="K8" s="87"/>
    </row>
    <row r="9" spans="1:17" s="31" customFormat="1" ht="16.5" customHeight="1" x14ac:dyDescent="0.2">
      <c r="A9" s="153"/>
      <c r="B9" s="153"/>
      <c r="C9" s="153">
        <v>461</v>
      </c>
      <c r="D9" s="153"/>
      <c r="E9" s="153" t="s">
        <v>35</v>
      </c>
      <c r="F9" s="153"/>
      <c r="G9" s="153" t="s">
        <v>36</v>
      </c>
      <c r="H9" s="153"/>
      <c r="I9" s="153">
        <v>464</v>
      </c>
      <c r="J9" s="153"/>
      <c r="K9" s="95"/>
    </row>
    <row r="10" spans="1:17" s="31" customFormat="1" ht="30" customHeight="1" x14ac:dyDescent="0.2">
      <c r="A10" s="153"/>
      <c r="B10" s="153"/>
      <c r="C10" s="153" t="s">
        <v>129</v>
      </c>
      <c r="D10" s="153" t="s">
        <v>117</v>
      </c>
      <c r="E10" s="153" t="s">
        <v>130</v>
      </c>
      <c r="F10" s="153" t="s">
        <v>117</v>
      </c>
      <c r="G10" s="153" t="s">
        <v>130</v>
      </c>
      <c r="H10" s="153" t="s">
        <v>117</v>
      </c>
      <c r="I10" s="153" t="s">
        <v>130</v>
      </c>
      <c r="J10" s="153" t="s">
        <v>117</v>
      </c>
      <c r="K10" s="95"/>
    </row>
    <row r="11" spans="1:17" s="31" customFormat="1" ht="36" customHeight="1" thickBot="1" x14ac:dyDescent="0.25">
      <c r="A11" s="154"/>
      <c r="B11" s="154"/>
      <c r="C11" s="154"/>
      <c r="D11" s="154"/>
      <c r="E11" s="154"/>
      <c r="F11" s="154"/>
      <c r="G11" s="154"/>
      <c r="H11" s="154"/>
      <c r="I11" s="154"/>
      <c r="J11" s="154"/>
      <c r="K11" s="87"/>
    </row>
    <row r="12" spans="1:17" s="31" customFormat="1" ht="20.100000000000001" customHeight="1" x14ac:dyDescent="0.2">
      <c r="A12" s="171" t="s">
        <v>127</v>
      </c>
      <c r="B12" s="171"/>
      <c r="C12" s="193">
        <f>'1 '!D19</f>
        <v>2.4</v>
      </c>
      <c r="D12" s="193"/>
      <c r="E12" s="194">
        <f>'1 '!D20</f>
        <v>2.1</v>
      </c>
      <c r="F12" s="195"/>
      <c r="G12" s="193">
        <f>'1 '!D21</f>
        <v>7.4</v>
      </c>
      <c r="H12" s="193"/>
      <c r="I12" s="193">
        <f>'1 '!D22</f>
        <v>9.3000000000000007</v>
      </c>
      <c r="J12" s="193"/>
    </row>
    <row r="13" spans="1:17" s="31" customFormat="1" ht="9" customHeight="1" x14ac:dyDescent="0.2">
      <c r="A13" s="26"/>
      <c r="B13" s="128"/>
      <c r="C13" s="126"/>
      <c r="D13" s="127"/>
      <c r="E13" s="126"/>
      <c r="F13" s="127"/>
      <c r="G13" s="126"/>
      <c r="H13" s="127"/>
      <c r="I13" s="126"/>
      <c r="J13" s="127"/>
      <c r="K13" s="35"/>
    </row>
    <row r="14" spans="1:17" s="31" customFormat="1" ht="20.100000000000001" customHeight="1" x14ac:dyDescent="0.35">
      <c r="A14" s="188" t="s">
        <v>126</v>
      </c>
      <c r="B14" s="188"/>
      <c r="C14" s="112"/>
      <c r="D14" s="113"/>
      <c r="E14" s="112"/>
      <c r="F14" s="113"/>
      <c r="G14" s="112"/>
      <c r="H14" s="113"/>
      <c r="I14" s="112"/>
      <c r="J14" s="113"/>
      <c r="K14" s="35"/>
      <c r="L14" s="197"/>
      <c r="M14" s="197"/>
      <c r="N14" s="196"/>
      <c r="O14" s="196"/>
      <c r="P14" s="197"/>
      <c r="Q14" s="197"/>
    </row>
    <row r="15" spans="1:17" s="31" customFormat="1" ht="9.75" customHeight="1" x14ac:dyDescent="0.2">
      <c r="A15" s="26"/>
      <c r="B15" s="128"/>
      <c r="C15" s="112"/>
      <c r="D15" s="113"/>
      <c r="E15" s="112"/>
      <c r="F15" s="113"/>
      <c r="G15" s="112"/>
      <c r="H15" s="113"/>
      <c r="I15" s="112"/>
      <c r="J15" s="113"/>
      <c r="K15" s="35"/>
    </row>
    <row r="16" spans="1:17" s="31" customFormat="1" ht="18" customHeight="1" x14ac:dyDescent="0.2">
      <c r="A16" s="121">
        <v>2020</v>
      </c>
      <c r="B16" s="122" t="s">
        <v>20</v>
      </c>
      <c r="C16" s="114">
        <v>111.9</v>
      </c>
      <c r="D16" s="78">
        <v>116.9</v>
      </c>
      <c r="E16" s="115">
        <v>116.8</v>
      </c>
      <c r="F16" s="115">
        <v>116.8</v>
      </c>
      <c r="G16" s="114">
        <v>127.6</v>
      </c>
      <c r="H16" s="78">
        <v>127.6</v>
      </c>
      <c r="I16" s="114">
        <v>124.7</v>
      </c>
      <c r="J16" s="78">
        <v>124.9</v>
      </c>
      <c r="K16" s="42"/>
      <c r="L16" s="92"/>
      <c r="M16" s="40"/>
      <c r="N16" s="62"/>
      <c r="O16" s="40"/>
      <c r="P16" s="62"/>
      <c r="Q16" s="40"/>
    </row>
    <row r="17" spans="1:17" s="31" customFormat="1" ht="18" customHeight="1" x14ac:dyDescent="0.2">
      <c r="A17" s="121"/>
      <c r="B17" s="122" t="s">
        <v>3</v>
      </c>
      <c r="C17" s="114">
        <v>100.5</v>
      </c>
      <c r="D17" s="78">
        <v>100.9</v>
      </c>
      <c r="E17" s="115">
        <v>117.9</v>
      </c>
      <c r="F17" s="115">
        <v>117.9</v>
      </c>
      <c r="G17" s="114">
        <v>131.6</v>
      </c>
      <c r="H17" s="78">
        <v>131.6</v>
      </c>
      <c r="I17" s="114">
        <v>105.2</v>
      </c>
      <c r="J17" s="78">
        <v>106.5</v>
      </c>
      <c r="K17" s="42"/>
      <c r="L17" s="92"/>
      <c r="M17" s="40"/>
      <c r="N17" s="62"/>
      <c r="O17" s="40"/>
      <c r="P17" s="62"/>
      <c r="Q17" s="40"/>
    </row>
    <row r="18" spans="1:17" s="31" customFormat="1" ht="18" customHeight="1" x14ac:dyDescent="0.2">
      <c r="A18" s="121"/>
      <c r="B18" s="122" t="s">
        <v>4</v>
      </c>
      <c r="C18" s="114">
        <v>116.3</v>
      </c>
      <c r="D18" s="78">
        <v>112.8</v>
      </c>
      <c r="E18" s="115">
        <v>124.3</v>
      </c>
      <c r="F18" s="115">
        <v>124.3</v>
      </c>
      <c r="G18" s="114">
        <v>136.69999999999999</v>
      </c>
      <c r="H18" s="78">
        <v>136.69999999999999</v>
      </c>
      <c r="I18" s="114">
        <v>128.19999999999999</v>
      </c>
      <c r="J18" s="78">
        <v>130.9</v>
      </c>
      <c r="K18" s="42"/>
      <c r="L18" s="92"/>
      <c r="M18" s="40"/>
      <c r="N18" s="62"/>
      <c r="O18" s="40"/>
      <c r="P18" s="62"/>
      <c r="Q18" s="40"/>
    </row>
    <row r="19" spans="1:17" s="31" customFormat="1" ht="18" customHeight="1" x14ac:dyDescent="0.2">
      <c r="A19" s="121"/>
      <c r="B19" s="122" t="s">
        <v>125</v>
      </c>
      <c r="C19" s="114">
        <v>113.4</v>
      </c>
      <c r="D19" s="78">
        <v>113.2</v>
      </c>
      <c r="E19" s="115">
        <v>112.5</v>
      </c>
      <c r="F19" s="115">
        <v>112.5</v>
      </c>
      <c r="G19" s="114">
        <v>133.69999999999999</v>
      </c>
      <c r="H19" s="78">
        <v>133.69999999999999</v>
      </c>
      <c r="I19" s="114">
        <v>135</v>
      </c>
      <c r="J19" s="78">
        <v>129.9</v>
      </c>
      <c r="K19" s="42"/>
      <c r="L19" s="92"/>
      <c r="M19" s="40"/>
      <c r="N19" s="62"/>
      <c r="O19" s="40"/>
      <c r="P19" s="62"/>
      <c r="Q19" s="40"/>
    </row>
    <row r="20" spans="1:17" s="31" customFormat="1" ht="18" customHeight="1" x14ac:dyDescent="0.2">
      <c r="A20" s="121"/>
      <c r="B20" s="122"/>
      <c r="C20" s="114"/>
      <c r="D20" s="78"/>
      <c r="E20" s="115"/>
      <c r="F20" s="115"/>
      <c r="G20" s="114"/>
      <c r="H20" s="78"/>
      <c r="I20" s="114"/>
      <c r="J20" s="78"/>
      <c r="K20" s="42"/>
      <c r="L20" s="92"/>
      <c r="M20" s="40"/>
      <c r="N20" s="62"/>
      <c r="O20" s="40"/>
      <c r="P20" s="62"/>
      <c r="Q20" s="40"/>
    </row>
    <row r="21" spans="1:17" s="31" customFormat="1" ht="18" customHeight="1" x14ac:dyDescent="0.2">
      <c r="A21" s="121">
        <v>2021</v>
      </c>
      <c r="B21" s="122" t="s">
        <v>120</v>
      </c>
      <c r="C21" s="114">
        <v>108.7</v>
      </c>
      <c r="D21" s="78">
        <v>113</v>
      </c>
      <c r="E21" s="115">
        <v>112.4</v>
      </c>
      <c r="F21" s="115">
        <v>112.4</v>
      </c>
      <c r="G21" s="114">
        <v>133.19999999999999</v>
      </c>
      <c r="H21" s="78">
        <v>133.19999999999999</v>
      </c>
      <c r="I21" s="114">
        <v>131</v>
      </c>
      <c r="J21" s="78">
        <v>130.5</v>
      </c>
      <c r="K21" s="42"/>
      <c r="L21" s="92"/>
      <c r="M21" s="40"/>
      <c r="N21" s="62"/>
      <c r="O21" s="40"/>
      <c r="P21" s="62"/>
      <c r="Q21" s="40"/>
    </row>
    <row r="22" spans="1:17" s="31" customFormat="1" ht="18" customHeight="1" x14ac:dyDescent="0.2">
      <c r="A22" s="121"/>
      <c r="B22" s="122" t="s">
        <v>41</v>
      </c>
      <c r="C22" s="114">
        <v>101.3</v>
      </c>
      <c r="D22" s="78">
        <v>101.5</v>
      </c>
      <c r="E22" s="115">
        <v>124.7</v>
      </c>
      <c r="F22" s="115">
        <v>124.7</v>
      </c>
      <c r="G22" s="114">
        <v>135.69999999999999</v>
      </c>
      <c r="H22" s="78">
        <v>135.69999999999999</v>
      </c>
      <c r="I22" s="114">
        <v>118.1</v>
      </c>
      <c r="J22" s="78">
        <v>120.7</v>
      </c>
      <c r="K22" s="42"/>
      <c r="L22" s="92"/>
      <c r="M22" s="40"/>
      <c r="N22" s="62"/>
      <c r="O22" s="40"/>
      <c r="P22" s="62"/>
      <c r="Q22" s="40"/>
    </row>
    <row r="23" spans="1:17" s="31" customFormat="1" ht="18" customHeight="1" x14ac:dyDescent="0.2">
      <c r="A23" s="121"/>
      <c r="B23" s="122" t="s">
        <v>121</v>
      </c>
      <c r="C23" s="114">
        <v>91.6</v>
      </c>
      <c r="D23" s="78">
        <v>89.7</v>
      </c>
      <c r="E23" s="115">
        <v>122.8</v>
      </c>
      <c r="F23" s="115">
        <v>122.8</v>
      </c>
      <c r="G23" s="114">
        <v>140.4</v>
      </c>
      <c r="H23" s="78">
        <v>140.4</v>
      </c>
      <c r="I23" s="114">
        <v>118.1</v>
      </c>
      <c r="J23" s="78">
        <v>120.5</v>
      </c>
      <c r="K23" s="42"/>
      <c r="L23" s="92"/>
      <c r="M23" s="40"/>
      <c r="N23" s="62"/>
      <c r="O23" s="40"/>
      <c r="P23" s="62"/>
      <c r="Q23" s="40"/>
    </row>
    <row r="24" spans="1:17" s="31" customFormat="1" ht="18" customHeight="1" x14ac:dyDescent="0.2">
      <c r="A24" s="121"/>
      <c r="B24" s="122" t="s">
        <v>82</v>
      </c>
      <c r="C24" s="114">
        <v>104.8</v>
      </c>
      <c r="D24" s="78">
        <v>103.9</v>
      </c>
      <c r="E24" s="115">
        <v>118.4</v>
      </c>
      <c r="F24" s="115">
        <v>118.4</v>
      </c>
      <c r="G24" s="114">
        <v>144.30000000000001</v>
      </c>
      <c r="H24" s="78">
        <v>144.30000000000001</v>
      </c>
      <c r="I24" s="114">
        <v>135.80000000000001</v>
      </c>
      <c r="J24" s="78">
        <v>130.1</v>
      </c>
      <c r="K24" s="42"/>
      <c r="L24" s="92"/>
      <c r="M24" s="40"/>
      <c r="N24" s="62"/>
      <c r="O24" s="40"/>
      <c r="P24" s="62"/>
      <c r="Q24" s="40"/>
    </row>
    <row r="25" spans="1:17" s="31" customFormat="1" ht="18" customHeight="1" x14ac:dyDescent="0.2">
      <c r="A25" s="121"/>
      <c r="B25" s="122"/>
      <c r="C25" s="114"/>
      <c r="D25" s="78"/>
      <c r="E25" s="115"/>
      <c r="F25" s="115"/>
      <c r="G25" s="114"/>
      <c r="H25" s="78"/>
      <c r="I25" s="114"/>
      <c r="J25" s="78"/>
      <c r="K25" s="42"/>
      <c r="L25" s="92"/>
      <c r="M25" s="40"/>
      <c r="N25" s="62"/>
      <c r="O25" s="40"/>
      <c r="P25" s="62"/>
      <c r="Q25" s="40"/>
    </row>
    <row r="26" spans="1:17" s="31" customFormat="1" ht="18" customHeight="1" x14ac:dyDescent="0.2">
      <c r="A26" s="121">
        <v>2022</v>
      </c>
      <c r="B26" s="122" t="s">
        <v>120</v>
      </c>
      <c r="C26" s="114">
        <v>109.1</v>
      </c>
      <c r="D26" s="78">
        <v>113.4</v>
      </c>
      <c r="E26" s="115">
        <v>121.8</v>
      </c>
      <c r="F26" s="115">
        <v>121.8</v>
      </c>
      <c r="G26" s="114">
        <v>139.30000000000001</v>
      </c>
      <c r="H26" s="78">
        <v>139.30000000000001</v>
      </c>
      <c r="I26" s="114">
        <v>135.30000000000001</v>
      </c>
      <c r="J26" s="78">
        <v>135.69999999999999</v>
      </c>
      <c r="K26" s="42"/>
      <c r="L26" s="92"/>
      <c r="M26" s="40"/>
      <c r="N26" s="62"/>
      <c r="O26" s="40"/>
      <c r="P26" s="62"/>
      <c r="Q26" s="40"/>
    </row>
    <row r="27" spans="1:17" s="31" customFormat="1" ht="18" customHeight="1" x14ac:dyDescent="0.2">
      <c r="A27" s="121"/>
      <c r="B27" s="122" t="s">
        <v>122</v>
      </c>
      <c r="C27" s="114">
        <v>107.4</v>
      </c>
      <c r="D27" s="78">
        <v>107.6</v>
      </c>
      <c r="E27" s="115">
        <v>129</v>
      </c>
      <c r="F27" s="115">
        <v>129</v>
      </c>
      <c r="G27" s="114">
        <v>138.30000000000001</v>
      </c>
      <c r="H27" s="78">
        <v>138.30000000000001</v>
      </c>
      <c r="I27" s="114">
        <v>144.19999999999999</v>
      </c>
      <c r="J27" s="78">
        <v>147.5</v>
      </c>
      <c r="K27" s="42"/>
      <c r="L27" s="92"/>
      <c r="M27" s="40"/>
      <c r="N27" s="62"/>
      <c r="O27" s="40"/>
      <c r="P27" s="62"/>
      <c r="Q27" s="40"/>
    </row>
    <row r="28" spans="1:17" s="31" customFormat="1" ht="18" customHeight="1" x14ac:dyDescent="0.2">
      <c r="A28" s="121"/>
      <c r="B28" s="122" t="s">
        <v>121</v>
      </c>
      <c r="C28" s="114">
        <v>105.7</v>
      </c>
      <c r="D28" s="78">
        <v>103.7</v>
      </c>
      <c r="E28" s="115">
        <v>133</v>
      </c>
      <c r="F28" s="115">
        <v>133</v>
      </c>
      <c r="G28" s="114">
        <v>140.19999999999999</v>
      </c>
      <c r="H28" s="78">
        <v>140.19999999999999</v>
      </c>
      <c r="I28" s="114">
        <v>146.9</v>
      </c>
      <c r="J28" s="78">
        <v>150.30000000000001</v>
      </c>
      <c r="K28" s="42"/>
      <c r="L28" s="92"/>
      <c r="M28" s="40"/>
      <c r="N28" s="62"/>
      <c r="O28" s="40"/>
      <c r="P28" s="62"/>
      <c r="Q28" s="40"/>
    </row>
    <row r="29" spans="1:17" s="31" customFormat="1" ht="18" customHeight="1" x14ac:dyDescent="0.2">
      <c r="A29" s="121"/>
      <c r="B29" s="122" t="s">
        <v>123</v>
      </c>
      <c r="C29" s="114">
        <v>117.1</v>
      </c>
      <c r="D29" s="78">
        <v>115.3</v>
      </c>
      <c r="E29" s="115">
        <v>134.6</v>
      </c>
      <c r="F29" s="115">
        <v>134.6</v>
      </c>
      <c r="G29" s="114">
        <v>148.6</v>
      </c>
      <c r="H29" s="78">
        <v>148.6</v>
      </c>
      <c r="I29" s="114">
        <v>146.80000000000001</v>
      </c>
      <c r="J29" s="78">
        <v>140.9</v>
      </c>
      <c r="K29" s="42"/>
      <c r="L29" s="92"/>
      <c r="M29" s="40"/>
      <c r="N29" s="62"/>
      <c r="O29" s="40"/>
      <c r="P29" s="62"/>
      <c r="Q29" s="40"/>
    </row>
    <row r="30" spans="1:17" s="31" customFormat="1" ht="18" customHeight="1" x14ac:dyDescent="0.2">
      <c r="A30" s="121"/>
      <c r="B30" s="122"/>
      <c r="C30" s="114"/>
      <c r="D30" s="78"/>
      <c r="E30" s="115"/>
      <c r="F30" s="115"/>
      <c r="G30" s="114"/>
      <c r="H30" s="78"/>
      <c r="I30" s="114"/>
      <c r="J30" s="78"/>
      <c r="K30" s="42"/>
      <c r="L30" s="92"/>
      <c r="M30" s="40"/>
      <c r="N30" s="62"/>
      <c r="O30" s="40"/>
      <c r="P30" s="62"/>
      <c r="Q30" s="40"/>
    </row>
    <row r="31" spans="1:17" s="31" customFormat="1" ht="18" customHeight="1" x14ac:dyDescent="0.2">
      <c r="A31" s="121">
        <v>2023</v>
      </c>
      <c r="B31" s="122" t="s">
        <v>124</v>
      </c>
      <c r="C31" s="114">
        <v>117.9</v>
      </c>
      <c r="D31" s="78">
        <v>122.6</v>
      </c>
      <c r="E31" s="115">
        <v>135.69999999999999</v>
      </c>
      <c r="F31" s="115">
        <v>135.69999999999999</v>
      </c>
      <c r="G31" s="114">
        <v>151.9</v>
      </c>
      <c r="H31" s="78">
        <v>151.9</v>
      </c>
      <c r="I31" s="114">
        <v>149.19999999999999</v>
      </c>
      <c r="J31" s="78">
        <v>149.9</v>
      </c>
      <c r="K31" s="42"/>
      <c r="L31" s="92"/>
      <c r="M31" s="40"/>
      <c r="N31" s="62"/>
      <c r="O31" s="40"/>
      <c r="P31" s="62"/>
      <c r="Q31" s="40"/>
    </row>
    <row r="32" spans="1:17" s="31" customFormat="1" ht="18" customHeight="1" thickBot="1" x14ac:dyDescent="0.25">
      <c r="A32" s="121"/>
      <c r="B32" s="122"/>
      <c r="C32" s="129"/>
      <c r="D32" s="130"/>
      <c r="E32" s="115"/>
      <c r="F32" s="115"/>
      <c r="G32" s="129"/>
      <c r="H32" s="130"/>
      <c r="I32" s="129"/>
      <c r="J32" s="130"/>
      <c r="K32" s="42"/>
      <c r="L32" s="62"/>
      <c r="M32" s="40"/>
      <c r="N32" s="62"/>
      <c r="O32" s="40"/>
      <c r="P32" s="62"/>
      <c r="Q32" s="40"/>
    </row>
    <row r="33" spans="1:17" s="31" customFormat="1" ht="31.5" customHeight="1" x14ac:dyDescent="0.2">
      <c r="A33" s="189" t="s">
        <v>47</v>
      </c>
      <c r="B33" s="189"/>
      <c r="C33" s="189"/>
      <c r="D33" s="189"/>
      <c r="E33" s="189"/>
      <c r="F33" s="189"/>
      <c r="G33" s="189"/>
      <c r="H33" s="189"/>
      <c r="I33" s="189"/>
      <c r="J33" s="189"/>
      <c r="K33" s="42"/>
      <c r="L33" s="62"/>
      <c r="M33" s="40"/>
      <c r="N33" s="62"/>
      <c r="O33" s="40"/>
      <c r="P33" s="62"/>
      <c r="Q33" s="40"/>
    </row>
    <row r="34" spans="1:17" s="31" customFormat="1" ht="18" customHeight="1" x14ac:dyDescent="0.2">
      <c r="A34" s="121">
        <v>2020</v>
      </c>
      <c r="B34" s="122" t="s">
        <v>20</v>
      </c>
      <c r="C34" s="114">
        <v>4.4000000000000004</v>
      </c>
      <c r="D34" s="78"/>
      <c r="E34" s="115">
        <v>-5.4</v>
      </c>
      <c r="F34" s="115"/>
      <c r="G34" s="114">
        <v>3.6</v>
      </c>
      <c r="H34" s="78"/>
      <c r="I34" s="114">
        <v>3.9</v>
      </c>
      <c r="J34" s="78"/>
      <c r="K34" s="42"/>
      <c r="L34" s="62"/>
      <c r="M34" s="40"/>
      <c r="N34" s="62"/>
      <c r="O34" s="40"/>
      <c r="P34" s="62"/>
      <c r="Q34" s="40"/>
    </row>
    <row r="35" spans="1:17" s="31" customFormat="1" ht="18" customHeight="1" x14ac:dyDescent="0.2">
      <c r="A35" s="121"/>
      <c r="B35" s="122" t="s">
        <v>3</v>
      </c>
      <c r="C35" s="114">
        <v>-15.7</v>
      </c>
      <c r="D35" s="78"/>
      <c r="E35" s="115">
        <v>1.4</v>
      </c>
      <c r="F35" s="115"/>
      <c r="G35" s="114">
        <v>1.3</v>
      </c>
      <c r="H35" s="78"/>
      <c r="I35" s="114">
        <v>-15.1</v>
      </c>
      <c r="J35" s="78"/>
      <c r="K35" s="42"/>
      <c r="L35" s="62"/>
      <c r="M35" s="40"/>
      <c r="N35" s="62"/>
      <c r="O35" s="40"/>
      <c r="P35" s="62"/>
      <c r="Q35" s="40"/>
    </row>
    <row r="36" spans="1:17" s="31" customFormat="1" ht="18" customHeight="1" x14ac:dyDescent="0.2">
      <c r="A36" s="121"/>
      <c r="B36" s="122" t="s">
        <v>4</v>
      </c>
      <c r="C36" s="114">
        <v>-6.5</v>
      </c>
      <c r="D36" s="78"/>
      <c r="E36" s="115">
        <v>2.1</v>
      </c>
      <c r="F36" s="115"/>
      <c r="G36" s="114">
        <v>3.3</v>
      </c>
      <c r="H36" s="78"/>
      <c r="I36" s="114">
        <v>4</v>
      </c>
      <c r="J36" s="78"/>
      <c r="K36" s="42"/>
      <c r="L36" s="62"/>
      <c r="M36" s="40"/>
      <c r="N36" s="62"/>
      <c r="O36" s="40"/>
      <c r="P36" s="62"/>
      <c r="Q36" s="40"/>
    </row>
    <row r="37" spans="1:17" s="31" customFormat="1" ht="18" customHeight="1" x14ac:dyDescent="0.2">
      <c r="A37" s="121"/>
      <c r="B37" s="122" t="s">
        <v>125</v>
      </c>
      <c r="C37" s="114">
        <v>-4.5</v>
      </c>
      <c r="D37" s="78"/>
      <c r="E37" s="115">
        <v>1.2</v>
      </c>
      <c r="F37" s="115"/>
      <c r="G37" s="114">
        <v>3.2</v>
      </c>
      <c r="H37" s="78"/>
      <c r="I37" s="114">
        <v>4.5</v>
      </c>
      <c r="J37" s="78"/>
      <c r="K37" s="42"/>
      <c r="L37" s="62"/>
      <c r="M37" s="40"/>
      <c r="N37" s="62"/>
      <c r="O37" s="40"/>
      <c r="P37" s="62"/>
      <c r="Q37" s="40"/>
    </row>
    <row r="38" spans="1:17" s="31" customFormat="1" ht="18" customHeight="1" x14ac:dyDescent="0.2">
      <c r="A38" s="121"/>
      <c r="B38" s="122"/>
      <c r="C38" s="114"/>
      <c r="D38" s="78"/>
      <c r="E38" s="115"/>
      <c r="F38" s="115"/>
      <c r="G38" s="114"/>
      <c r="H38" s="78"/>
      <c r="I38" s="114"/>
      <c r="J38" s="78"/>
      <c r="K38" s="42"/>
      <c r="L38" s="62"/>
      <c r="M38" s="40"/>
      <c r="N38" s="62"/>
      <c r="O38" s="40"/>
      <c r="P38" s="62"/>
      <c r="Q38" s="40"/>
    </row>
    <row r="39" spans="1:17" s="31" customFormat="1" ht="18" customHeight="1" x14ac:dyDescent="0.2">
      <c r="A39" s="121">
        <v>2021</v>
      </c>
      <c r="B39" s="122" t="s">
        <v>120</v>
      </c>
      <c r="C39" s="114">
        <v>-2.8</v>
      </c>
      <c r="D39" s="78"/>
      <c r="E39" s="115">
        <v>-3.8</v>
      </c>
      <c r="F39" s="115"/>
      <c r="G39" s="114">
        <v>4.4000000000000004</v>
      </c>
      <c r="H39" s="78"/>
      <c r="I39" s="114">
        <v>5.0999999999999996</v>
      </c>
      <c r="J39" s="78"/>
      <c r="K39" s="42"/>
      <c r="L39" s="62"/>
      <c r="M39" s="40"/>
      <c r="N39" s="62"/>
      <c r="O39" s="40"/>
      <c r="P39" s="62"/>
      <c r="Q39" s="40"/>
    </row>
    <row r="40" spans="1:17" s="31" customFormat="1" ht="18" customHeight="1" x14ac:dyDescent="0.2">
      <c r="A40" s="121"/>
      <c r="B40" s="122" t="s">
        <v>41</v>
      </c>
      <c r="C40" s="114">
        <v>0.8</v>
      </c>
      <c r="D40" s="78"/>
      <c r="E40" s="115">
        <v>5.7</v>
      </c>
      <c r="F40" s="115"/>
      <c r="G40" s="114">
        <v>3.1</v>
      </c>
      <c r="H40" s="78"/>
      <c r="I40" s="114">
        <v>12.3</v>
      </c>
      <c r="J40" s="78"/>
      <c r="K40" s="42"/>
      <c r="L40" s="62"/>
      <c r="M40" s="40"/>
      <c r="N40" s="62"/>
      <c r="O40" s="40"/>
      <c r="P40" s="62"/>
      <c r="Q40" s="40"/>
    </row>
    <row r="41" spans="1:17" s="31" customFormat="1" ht="18" customHeight="1" x14ac:dyDescent="0.2">
      <c r="A41" s="121"/>
      <c r="B41" s="122" t="s">
        <v>121</v>
      </c>
      <c r="C41" s="114">
        <v>-21.2</v>
      </c>
      <c r="D41" s="78"/>
      <c r="E41" s="115">
        <v>-1.3</v>
      </c>
      <c r="F41" s="115"/>
      <c r="G41" s="114">
        <v>2.7</v>
      </c>
      <c r="H41" s="78"/>
      <c r="I41" s="114">
        <v>-7.9</v>
      </c>
      <c r="J41" s="78"/>
      <c r="K41" s="42"/>
      <c r="L41" s="62"/>
      <c r="M41" s="40"/>
      <c r="N41" s="62"/>
      <c r="O41" s="40"/>
      <c r="P41" s="62"/>
      <c r="Q41" s="40"/>
    </row>
    <row r="42" spans="1:17" s="31" customFormat="1" ht="18" customHeight="1" x14ac:dyDescent="0.2">
      <c r="A42" s="121"/>
      <c r="B42" s="122" t="s">
        <v>82</v>
      </c>
      <c r="C42" s="114">
        <v>-7.5</v>
      </c>
      <c r="D42" s="78"/>
      <c r="E42" s="115">
        <v>5.3</v>
      </c>
      <c r="F42" s="115"/>
      <c r="G42" s="114">
        <v>7.9</v>
      </c>
      <c r="H42" s="78"/>
      <c r="I42" s="114">
        <v>0.6</v>
      </c>
      <c r="J42" s="78"/>
      <c r="K42" s="42"/>
      <c r="L42" s="62"/>
      <c r="M42" s="40"/>
      <c r="N42" s="62"/>
      <c r="O42" s="40"/>
      <c r="P42" s="62"/>
      <c r="Q42" s="40"/>
    </row>
    <row r="43" spans="1:17" s="31" customFormat="1" ht="18" customHeight="1" x14ac:dyDescent="0.2">
      <c r="A43" s="121"/>
      <c r="B43" s="122"/>
      <c r="C43" s="114"/>
      <c r="D43" s="78"/>
      <c r="E43" s="115"/>
      <c r="F43" s="115"/>
      <c r="G43" s="114"/>
      <c r="H43" s="78"/>
      <c r="I43" s="114"/>
      <c r="J43" s="78"/>
      <c r="K43" s="42"/>
      <c r="L43" s="62"/>
      <c r="M43" s="40"/>
      <c r="N43" s="62"/>
      <c r="O43" s="40"/>
      <c r="P43" s="62"/>
      <c r="Q43" s="40"/>
    </row>
    <row r="44" spans="1:17" s="31" customFormat="1" ht="18" customHeight="1" x14ac:dyDescent="0.2">
      <c r="A44" s="121">
        <v>2022</v>
      </c>
      <c r="B44" s="122" t="s">
        <v>120</v>
      </c>
      <c r="C44" s="114">
        <v>0.3</v>
      </c>
      <c r="D44" s="78"/>
      <c r="E44" s="115">
        <v>8.4</v>
      </c>
      <c r="F44" s="115"/>
      <c r="G44" s="114">
        <v>4.5999999999999996</v>
      </c>
      <c r="H44" s="78"/>
      <c r="I44" s="114">
        <v>3.3</v>
      </c>
      <c r="J44" s="78"/>
      <c r="K44" s="42"/>
      <c r="L44" s="62"/>
      <c r="M44" s="40"/>
      <c r="N44" s="62"/>
      <c r="O44" s="40"/>
      <c r="P44" s="62"/>
      <c r="Q44" s="40"/>
    </row>
    <row r="45" spans="1:17" s="31" customFormat="1" ht="18" customHeight="1" x14ac:dyDescent="0.2">
      <c r="A45" s="121"/>
      <c r="B45" s="122" t="s">
        <v>122</v>
      </c>
      <c r="C45" s="114">
        <v>6</v>
      </c>
      <c r="D45" s="78"/>
      <c r="E45" s="115">
        <v>3.4</v>
      </c>
      <c r="F45" s="115"/>
      <c r="G45" s="114">
        <v>2</v>
      </c>
      <c r="H45" s="78"/>
      <c r="I45" s="114">
        <v>22.2</v>
      </c>
      <c r="J45" s="78"/>
      <c r="K45" s="42"/>
      <c r="L45" s="62"/>
      <c r="M45" s="40"/>
      <c r="N45" s="62"/>
      <c r="O45" s="40"/>
      <c r="P45" s="62"/>
      <c r="Q45" s="40"/>
    </row>
    <row r="46" spans="1:17" s="31" customFormat="1" ht="18" customHeight="1" x14ac:dyDescent="0.2">
      <c r="A46" s="121"/>
      <c r="B46" s="122" t="s">
        <v>121</v>
      </c>
      <c r="C46" s="114">
        <v>15.4</v>
      </c>
      <c r="D46" s="78"/>
      <c r="E46" s="115">
        <v>8.4</v>
      </c>
      <c r="F46" s="115"/>
      <c r="G46" s="114">
        <v>-0.1</v>
      </c>
      <c r="H46" s="78"/>
      <c r="I46" s="114">
        <v>24.3</v>
      </c>
      <c r="J46" s="78"/>
      <c r="K46" s="42"/>
      <c r="L46" s="62"/>
      <c r="M46" s="40"/>
      <c r="N46" s="62"/>
      <c r="O46" s="40"/>
      <c r="P46" s="62"/>
      <c r="Q46" s="40"/>
    </row>
    <row r="47" spans="1:17" s="31" customFormat="1" ht="18" customHeight="1" x14ac:dyDescent="0.2">
      <c r="A47" s="121"/>
      <c r="B47" s="122" t="s">
        <v>123</v>
      </c>
      <c r="C47" s="114">
        <v>11.7</v>
      </c>
      <c r="D47" s="78"/>
      <c r="E47" s="115">
        <v>13.7</v>
      </c>
      <c r="F47" s="115"/>
      <c r="G47" s="114">
        <v>2.9</v>
      </c>
      <c r="H47" s="78"/>
      <c r="I47" s="114">
        <v>8.1</v>
      </c>
      <c r="J47" s="78"/>
      <c r="K47" s="42"/>
      <c r="L47" s="62"/>
      <c r="M47" s="40"/>
      <c r="N47" s="62"/>
      <c r="O47" s="40"/>
      <c r="P47" s="62"/>
      <c r="Q47" s="40"/>
    </row>
    <row r="48" spans="1:17" s="31" customFormat="1" ht="18" customHeight="1" x14ac:dyDescent="0.2">
      <c r="A48" s="121"/>
      <c r="B48" s="122"/>
      <c r="C48" s="114"/>
      <c r="D48" s="78"/>
      <c r="E48" s="115"/>
      <c r="F48" s="115"/>
      <c r="G48" s="114"/>
      <c r="H48" s="78"/>
      <c r="I48" s="114"/>
      <c r="J48" s="78"/>
      <c r="K48" s="42"/>
      <c r="L48" s="62"/>
      <c r="M48" s="40"/>
      <c r="N48" s="62"/>
      <c r="O48" s="40"/>
      <c r="P48" s="62"/>
      <c r="Q48" s="40"/>
    </row>
    <row r="49" spans="1:17" s="31" customFormat="1" ht="18" customHeight="1" x14ac:dyDescent="0.2">
      <c r="A49" s="121">
        <v>2023</v>
      </c>
      <c r="B49" s="122" t="s">
        <v>124</v>
      </c>
      <c r="C49" s="114">
        <v>8.1</v>
      </c>
      <c r="D49" s="78"/>
      <c r="E49" s="115">
        <v>11.4</v>
      </c>
      <c r="F49" s="115"/>
      <c r="G49" s="114">
        <v>9.1</v>
      </c>
      <c r="H49" s="78"/>
      <c r="I49" s="114">
        <v>10.3</v>
      </c>
      <c r="J49" s="78"/>
      <c r="K49" s="42"/>
      <c r="L49" s="62"/>
      <c r="M49" s="40"/>
      <c r="N49" s="62"/>
      <c r="O49" s="40"/>
      <c r="P49" s="62"/>
      <c r="Q49" s="40"/>
    </row>
    <row r="50" spans="1:17" s="31" customFormat="1" ht="18" customHeight="1" thickBot="1" x14ac:dyDescent="0.25">
      <c r="A50" s="121"/>
      <c r="B50" s="122"/>
      <c r="C50" s="129"/>
      <c r="D50" s="130"/>
      <c r="E50" s="115"/>
      <c r="F50" s="115"/>
      <c r="G50" s="129"/>
      <c r="H50" s="130"/>
      <c r="I50" s="129"/>
      <c r="J50" s="130"/>
      <c r="K50" s="42"/>
      <c r="L50" s="62"/>
      <c r="M50" s="40"/>
      <c r="N50" s="62"/>
      <c r="O50" s="40"/>
      <c r="P50" s="62"/>
      <c r="Q50" s="40"/>
    </row>
    <row r="51" spans="1:17" s="31" customFormat="1" ht="31.5" customHeight="1" x14ac:dyDescent="0.2">
      <c r="A51" s="189" t="s">
        <v>49</v>
      </c>
      <c r="B51" s="189"/>
      <c r="C51" s="189"/>
      <c r="D51" s="189"/>
      <c r="E51" s="189"/>
      <c r="F51" s="189"/>
      <c r="G51" s="189"/>
      <c r="H51" s="189"/>
      <c r="I51" s="189"/>
      <c r="J51" s="189"/>
      <c r="K51" s="42"/>
      <c r="L51" s="62"/>
      <c r="M51" s="40"/>
      <c r="N51" s="62"/>
      <c r="O51" s="40"/>
      <c r="P51" s="62"/>
      <c r="Q51" s="40"/>
    </row>
    <row r="52" spans="1:17" s="31" customFormat="1" ht="18" customHeight="1" x14ac:dyDescent="0.2">
      <c r="A52" s="121">
        <v>2020</v>
      </c>
      <c r="B52" s="122" t="s">
        <v>20</v>
      </c>
      <c r="C52" s="114">
        <v>-5.7</v>
      </c>
      <c r="D52" s="78">
        <v>-2.1</v>
      </c>
      <c r="E52" s="115">
        <v>5</v>
      </c>
      <c r="F52" s="115">
        <v>5</v>
      </c>
      <c r="G52" s="114">
        <v>-1.5</v>
      </c>
      <c r="H52" s="78">
        <v>-1.5</v>
      </c>
      <c r="I52" s="114">
        <v>-3.5</v>
      </c>
      <c r="J52" s="78">
        <v>0.1</v>
      </c>
      <c r="K52" s="90"/>
      <c r="L52" s="62"/>
      <c r="M52" s="40"/>
      <c r="N52" s="62"/>
      <c r="O52" s="40"/>
      <c r="P52" s="62"/>
      <c r="Q52" s="40"/>
    </row>
    <row r="53" spans="1:17" s="31" customFormat="1" ht="18" customHeight="1" x14ac:dyDescent="0.2">
      <c r="A53" s="121"/>
      <c r="B53" s="122" t="s">
        <v>3</v>
      </c>
      <c r="C53" s="114">
        <v>-10.199999999999999</v>
      </c>
      <c r="D53" s="78">
        <v>-13.7</v>
      </c>
      <c r="E53" s="115">
        <v>1</v>
      </c>
      <c r="F53" s="115">
        <v>1</v>
      </c>
      <c r="G53" s="114">
        <v>3.1</v>
      </c>
      <c r="H53" s="78">
        <v>3.1</v>
      </c>
      <c r="I53" s="114">
        <v>-15.6</v>
      </c>
      <c r="J53" s="78">
        <v>-14.8</v>
      </c>
      <c r="K53" s="90"/>
      <c r="L53" s="62"/>
      <c r="M53" s="40"/>
      <c r="N53" s="62"/>
      <c r="O53" s="40"/>
      <c r="P53" s="62"/>
      <c r="Q53" s="40"/>
    </row>
    <row r="54" spans="1:17" s="31" customFormat="1" ht="18" customHeight="1" x14ac:dyDescent="0.2">
      <c r="A54" s="121"/>
      <c r="B54" s="122" t="s">
        <v>4</v>
      </c>
      <c r="C54" s="114">
        <v>15.7</v>
      </c>
      <c r="D54" s="78">
        <v>11.8</v>
      </c>
      <c r="E54" s="115">
        <v>5.4</v>
      </c>
      <c r="F54" s="115">
        <v>5.4</v>
      </c>
      <c r="G54" s="114">
        <v>3.9</v>
      </c>
      <c r="H54" s="78">
        <v>3.9</v>
      </c>
      <c r="I54" s="114">
        <v>21.9</v>
      </c>
      <c r="J54" s="78">
        <v>22.9</v>
      </c>
      <c r="K54" s="90"/>
      <c r="L54" s="62"/>
      <c r="M54" s="40"/>
      <c r="N54" s="62"/>
      <c r="O54" s="40"/>
      <c r="P54" s="62"/>
      <c r="Q54" s="40"/>
    </row>
    <row r="55" spans="1:17" s="31" customFormat="1" ht="18" customHeight="1" x14ac:dyDescent="0.2">
      <c r="A55" s="121"/>
      <c r="B55" s="122" t="s">
        <v>125</v>
      </c>
      <c r="C55" s="114">
        <v>-2.5</v>
      </c>
      <c r="D55" s="78">
        <v>0.3</v>
      </c>
      <c r="E55" s="115">
        <v>-9.5</v>
      </c>
      <c r="F55" s="115">
        <v>-9.5</v>
      </c>
      <c r="G55" s="114">
        <v>-2.2000000000000002</v>
      </c>
      <c r="H55" s="78">
        <v>-2.2000000000000002</v>
      </c>
      <c r="I55" s="114">
        <v>5.3</v>
      </c>
      <c r="J55" s="78">
        <v>-0.8</v>
      </c>
      <c r="K55" s="90"/>
      <c r="L55" s="62"/>
      <c r="M55" s="40"/>
      <c r="N55" s="62"/>
      <c r="O55" s="40"/>
      <c r="P55" s="62"/>
      <c r="Q55" s="40"/>
    </row>
    <row r="56" spans="1:17" s="31" customFormat="1" ht="18" customHeight="1" x14ac:dyDescent="0.2">
      <c r="A56" s="121"/>
      <c r="B56" s="122"/>
      <c r="C56" s="114"/>
      <c r="D56" s="78"/>
      <c r="E56" s="115"/>
      <c r="F56" s="115"/>
      <c r="G56" s="114"/>
      <c r="H56" s="78"/>
      <c r="I56" s="114"/>
      <c r="J56" s="78"/>
      <c r="K56" s="90"/>
      <c r="L56" s="62"/>
      <c r="M56" s="40"/>
      <c r="N56" s="62"/>
      <c r="O56" s="40"/>
      <c r="P56" s="62"/>
      <c r="Q56" s="40"/>
    </row>
    <row r="57" spans="1:17" s="31" customFormat="1" ht="18" customHeight="1" x14ac:dyDescent="0.2">
      <c r="A57" s="121">
        <v>2021</v>
      </c>
      <c r="B57" s="122" t="s">
        <v>120</v>
      </c>
      <c r="C57" s="114">
        <v>-4.0999999999999996</v>
      </c>
      <c r="D57" s="78">
        <v>-0.2</v>
      </c>
      <c r="E57" s="115">
        <v>-0.1</v>
      </c>
      <c r="F57" s="115">
        <v>-0.1</v>
      </c>
      <c r="G57" s="114">
        <v>-0.4</v>
      </c>
      <c r="H57" s="78">
        <v>-0.4</v>
      </c>
      <c r="I57" s="114">
        <v>-3</v>
      </c>
      <c r="J57" s="78">
        <v>0.5</v>
      </c>
      <c r="K57" s="90"/>
      <c r="L57" s="62"/>
      <c r="M57" s="40"/>
      <c r="N57" s="62"/>
      <c r="O57" s="40"/>
      <c r="P57" s="62"/>
      <c r="Q57" s="40"/>
    </row>
    <row r="58" spans="1:17" s="31" customFormat="1" ht="18" customHeight="1" x14ac:dyDescent="0.2">
      <c r="A58" s="121"/>
      <c r="B58" s="122" t="s">
        <v>41</v>
      </c>
      <c r="C58" s="114">
        <v>-6.8</v>
      </c>
      <c r="D58" s="78">
        <v>-10.1</v>
      </c>
      <c r="E58" s="115">
        <v>11</v>
      </c>
      <c r="F58" s="115">
        <v>11</v>
      </c>
      <c r="G58" s="114">
        <v>1.9</v>
      </c>
      <c r="H58" s="78">
        <v>1.9</v>
      </c>
      <c r="I58" s="114">
        <v>-9.9</v>
      </c>
      <c r="J58" s="78">
        <v>-7.5</v>
      </c>
      <c r="K58" s="90"/>
      <c r="L58" s="62"/>
      <c r="M58" s="40"/>
      <c r="N58" s="62"/>
      <c r="O58" s="40"/>
      <c r="P58" s="62"/>
      <c r="Q58" s="40"/>
    </row>
    <row r="59" spans="1:17" s="31" customFormat="1" ht="18" customHeight="1" x14ac:dyDescent="0.2">
      <c r="A59" s="121"/>
      <c r="B59" s="122" t="s">
        <v>121</v>
      </c>
      <c r="C59" s="114">
        <v>-9.6</v>
      </c>
      <c r="D59" s="78">
        <v>-11.7</v>
      </c>
      <c r="E59" s="115">
        <v>-1.5</v>
      </c>
      <c r="F59" s="115">
        <v>-1.5</v>
      </c>
      <c r="G59" s="114">
        <v>3.5</v>
      </c>
      <c r="H59" s="78">
        <v>3.5</v>
      </c>
      <c r="I59" s="114">
        <v>0.1</v>
      </c>
      <c r="J59" s="78">
        <v>-0.1</v>
      </c>
      <c r="K59" s="90"/>
      <c r="L59" s="62"/>
      <c r="M59" s="40"/>
      <c r="N59" s="62"/>
      <c r="O59" s="40"/>
      <c r="P59" s="62"/>
      <c r="Q59" s="40"/>
    </row>
    <row r="60" spans="1:17" s="31" customFormat="1" ht="18" customHeight="1" x14ac:dyDescent="0.2">
      <c r="A60" s="121"/>
      <c r="B60" s="122" t="s">
        <v>82</v>
      </c>
      <c r="C60" s="114">
        <v>14.5</v>
      </c>
      <c r="D60" s="78">
        <v>15.8</v>
      </c>
      <c r="E60" s="115">
        <v>-3.6</v>
      </c>
      <c r="F60" s="115">
        <v>-3.6</v>
      </c>
      <c r="G60" s="114">
        <v>2.8</v>
      </c>
      <c r="H60" s="78">
        <v>2.8</v>
      </c>
      <c r="I60" s="114">
        <v>15</v>
      </c>
      <c r="J60" s="78">
        <v>8</v>
      </c>
      <c r="K60" s="90"/>
      <c r="L60" s="62"/>
      <c r="M60" s="40"/>
      <c r="N60" s="62"/>
      <c r="O60" s="40"/>
      <c r="P60" s="62"/>
      <c r="Q60" s="40"/>
    </row>
    <row r="61" spans="1:17" s="31" customFormat="1" ht="18" customHeight="1" x14ac:dyDescent="0.2">
      <c r="A61" s="121"/>
      <c r="B61" s="122"/>
      <c r="C61" s="114"/>
      <c r="D61" s="78"/>
      <c r="E61" s="115"/>
      <c r="F61" s="115"/>
      <c r="G61" s="114"/>
      <c r="H61" s="78"/>
      <c r="I61" s="114"/>
      <c r="J61" s="78"/>
      <c r="K61" s="90"/>
      <c r="L61" s="62"/>
      <c r="M61" s="40"/>
      <c r="N61" s="62"/>
      <c r="O61" s="40"/>
      <c r="P61" s="62"/>
      <c r="Q61" s="40"/>
    </row>
    <row r="62" spans="1:17" s="31" customFormat="1" ht="18" customHeight="1" x14ac:dyDescent="0.2">
      <c r="A62" s="121">
        <v>2022</v>
      </c>
      <c r="B62" s="122" t="s">
        <v>120</v>
      </c>
      <c r="C62" s="114">
        <v>4</v>
      </c>
      <c r="D62" s="78">
        <v>9.1999999999999993</v>
      </c>
      <c r="E62" s="115">
        <v>2.9</v>
      </c>
      <c r="F62" s="115">
        <v>2.9</v>
      </c>
      <c r="G62" s="114">
        <v>-3.5</v>
      </c>
      <c r="H62" s="78">
        <v>-3.5</v>
      </c>
      <c r="I62" s="114">
        <v>-0.4</v>
      </c>
      <c r="J62" s="78">
        <v>4.3</v>
      </c>
      <c r="K62" s="90"/>
      <c r="L62" s="62"/>
      <c r="M62" s="40"/>
      <c r="N62" s="62"/>
      <c r="O62" s="40"/>
      <c r="P62" s="62"/>
      <c r="Q62" s="40"/>
    </row>
    <row r="63" spans="1:17" s="31" customFormat="1" ht="18" customHeight="1" x14ac:dyDescent="0.2">
      <c r="A63" s="121"/>
      <c r="B63" s="122" t="s">
        <v>122</v>
      </c>
      <c r="C63" s="114">
        <v>-1.5</v>
      </c>
      <c r="D63" s="78">
        <v>-5.0999999999999996</v>
      </c>
      <c r="E63" s="115">
        <v>5.9</v>
      </c>
      <c r="F63" s="115">
        <v>5.9</v>
      </c>
      <c r="G63" s="114">
        <v>-0.7</v>
      </c>
      <c r="H63" s="78">
        <v>-0.7</v>
      </c>
      <c r="I63" s="114">
        <v>6.6</v>
      </c>
      <c r="J63" s="78">
        <v>8.6999999999999993</v>
      </c>
      <c r="K63" s="90"/>
      <c r="L63" s="62"/>
      <c r="M63" s="40"/>
      <c r="N63" s="62"/>
      <c r="O63" s="40"/>
      <c r="P63" s="62"/>
      <c r="Q63" s="40"/>
    </row>
    <row r="64" spans="1:17" s="31" customFormat="1" ht="18" customHeight="1" x14ac:dyDescent="0.2">
      <c r="A64" s="121"/>
      <c r="B64" s="122" t="s">
        <v>121</v>
      </c>
      <c r="C64" s="114">
        <v>-1.6</v>
      </c>
      <c r="D64" s="78">
        <v>-3.6</v>
      </c>
      <c r="E64" s="115">
        <v>3.1</v>
      </c>
      <c r="F64" s="115">
        <v>3.1</v>
      </c>
      <c r="G64" s="114">
        <v>1.4</v>
      </c>
      <c r="H64" s="78">
        <v>1.4</v>
      </c>
      <c r="I64" s="114">
        <v>1.9</v>
      </c>
      <c r="J64" s="78">
        <v>1.9</v>
      </c>
      <c r="K64" s="90"/>
      <c r="L64" s="62"/>
      <c r="M64" s="40"/>
      <c r="N64" s="62"/>
      <c r="O64" s="40"/>
      <c r="P64" s="62"/>
      <c r="Q64" s="40"/>
    </row>
    <row r="65" spans="1:17" s="31" customFormat="1" ht="18" customHeight="1" x14ac:dyDescent="0.2">
      <c r="A65" s="121"/>
      <c r="B65" s="122" t="s">
        <v>123</v>
      </c>
      <c r="C65" s="114">
        <v>10.8</v>
      </c>
      <c r="D65" s="78">
        <v>11.2</v>
      </c>
      <c r="E65" s="115">
        <v>1.2</v>
      </c>
      <c r="F65" s="115">
        <v>1.2</v>
      </c>
      <c r="G65" s="114">
        <v>5.9</v>
      </c>
      <c r="H65" s="78">
        <v>5.9</v>
      </c>
      <c r="I65" s="114">
        <v>0</v>
      </c>
      <c r="J65" s="78">
        <v>-6.3</v>
      </c>
      <c r="K65" s="90"/>
      <c r="L65" s="62"/>
      <c r="M65" s="40"/>
      <c r="N65" s="62"/>
      <c r="O65" s="40"/>
      <c r="P65" s="62"/>
      <c r="Q65" s="40"/>
    </row>
    <row r="66" spans="1:17" s="31" customFormat="1" ht="18" customHeight="1" x14ac:dyDescent="0.2">
      <c r="A66" s="121"/>
      <c r="B66" s="122"/>
      <c r="C66" s="114"/>
      <c r="D66" s="78"/>
      <c r="E66" s="115"/>
      <c r="F66" s="115"/>
      <c r="G66" s="114"/>
      <c r="H66" s="78"/>
      <c r="I66" s="114"/>
      <c r="J66" s="78"/>
      <c r="K66" s="90"/>
      <c r="L66" s="62"/>
      <c r="M66" s="40"/>
      <c r="N66" s="62"/>
      <c r="O66" s="40"/>
      <c r="P66" s="62"/>
      <c r="Q66" s="40"/>
    </row>
    <row r="67" spans="1:17" s="31" customFormat="1" ht="18" customHeight="1" x14ac:dyDescent="0.2">
      <c r="A67" s="121">
        <v>2023</v>
      </c>
      <c r="B67" s="122" t="s">
        <v>124</v>
      </c>
      <c r="C67" s="114">
        <v>0.6</v>
      </c>
      <c r="D67" s="78">
        <v>6.3</v>
      </c>
      <c r="E67" s="115">
        <v>0.8</v>
      </c>
      <c r="F67" s="115">
        <v>0.8</v>
      </c>
      <c r="G67" s="114">
        <v>2.2000000000000002</v>
      </c>
      <c r="H67" s="78">
        <v>2.2000000000000002</v>
      </c>
      <c r="I67" s="114">
        <v>1.6</v>
      </c>
      <c r="J67" s="78">
        <v>6.4</v>
      </c>
      <c r="K67" s="90"/>
      <c r="L67" s="62"/>
      <c r="M67" s="40"/>
      <c r="N67" s="62"/>
      <c r="O67" s="40"/>
      <c r="P67" s="62"/>
      <c r="Q67" s="40"/>
    </row>
    <row r="68" spans="1:17" s="31" customFormat="1" ht="18" customHeight="1" thickBot="1" x14ac:dyDescent="0.25">
      <c r="A68" s="121"/>
      <c r="B68" s="122"/>
      <c r="C68" s="114"/>
      <c r="D68" s="78"/>
      <c r="E68" s="115"/>
      <c r="F68" s="115"/>
      <c r="G68" s="114"/>
      <c r="H68" s="78"/>
      <c r="I68" s="114"/>
      <c r="J68" s="78"/>
      <c r="K68" s="42"/>
      <c r="L68" s="62"/>
      <c r="M68" s="40"/>
      <c r="N68" s="62"/>
      <c r="O68" s="40"/>
      <c r="P68" s="62"/>
      <c r="Q68" s="40"/>
    </row>
    <row r="69" spans="1:17" s="31" customFormat="1" ht="9.75" hidden="1" customHeight="1" thickBot="1" x14ac:dyDescent="0.25">
      <c r="B69" s="36"/>
      <c r="C69" s="67"/>
      <c r="D69" s="68"/>
      <c r="E69" s="67"/>
      <c r="F69" s="68"/>
      <c r="G69" s="67"/>
      <c r="H69" s="68"/>
      <c r="I69" s="67"/>
      <c r="J69" s="68"/>
    </row>
    <row r="70" spans="1:17" s="69" customFormat="1" ht="52.15" customHeight="1" thickBot="1" x14ac:dyDescent="0.3">
      <c r="A70" s="191" t="s">
        <v>30</v>
      </c>
      <c r="B70" s="192"/>
      <c r="C70" s="192" t="s">
        <v>2</v>
      </c>
      <c r="D70" s="192"/>
      <c r="E70" s="190" t="s">
        <v>64</v>
      </c>
      <c r="F70" s="191"/>
      <c r="G70" s="192" t="s">
        <v>65</v>
      </c>
      <c r="H70" s="192"/>
      <c r="I70" s="192" t="s">
        <v>1</v>
      </c>
      <c r="J70" s="192"/>
    </row>
    <row r="71" spans="1:17" ht="16.5" hidden="1" customHeight="1" thickBot="1" x14ac:dyDescent="0.25">
      <c r="A71" s="52"/>
      <c r="B71" s="53"/>
      <c r="C71" s="13"/>
      <c r="D71" s="13"/>
      <c r="E71" s="13"/>
      <c r="F71" s="13"/>
      <c r="G71" s="13"/>
      <c r="H71" s="13"/>
      <c r="I71" s="13"/>
      <c r="J71" s="13"/>
    </row>
    <row r="72" spans="1:17" ht="21.95" customHeight="1" x14ac:dyDescent="0.2">
      <c r="A72" s="13" t="s">
        <v>44</v>
      </c>
      <c r="B72" s="15"/>
      <c r="C72" s="13"/>
      <c r="D72" s="13"/>
      <c r="E72" s="13"/>
      <c r="F72" s="13"/>
      <c r="G72" s="13"/>
      <c r="H72" s="13"/>
      <c r="I72" s="13"/>
      <c r="J72" s="13"/>
    </row>
    <row r="73" spans="1:17" ht="16.5" x14ac:dyDescent="0.2">
      <c r="A73" s="24" t="s">
        <v>143</v>
      </c>
      <c r="B73" s="16"/>
      <c r="C73" s="16"/>
      <c r="D73" s="16"/>
      <c r="E73" s="16"/>
      <c r="F73" s="16"/>
      <c r="G73" s="16"/>
      <c r="H73" s="16"/>
      <c r="I73" s="16"/>
      <c r="J73" s="16"/>
    </row>
    <row r="74" spans="1:17" ht="51.75" customHeight="1" x14ac:dyDescent="0.2">
      <c r="A74" s="174" t="s">
        <v>50</v>
      </c>
      <c r="B74" s="174"/>
      <c r="C74" s="174"/>
      <c r="D74" s="174"/>
      <c r="E74" s="174"/>
      <c r="F74" s="174"/>
      <c r="G74" s="174"/>
      <c r="H74" s="174"/>
      <c r="I74" s="174"/>
      <c r="J74" s="174"/>
      <c r="K74" s="63"/>
    </row>
    <row r="75" spans="1:17" x14ac:dyDescent="0.2">
      <c r="A75" s="73"/>
      <c r="B75" s="73"/>
      <c r="C75" s="73"/>
      <c r="D75" s="73"/>
      <c r="E75" s="73"/>
      <c r="F75" s="73"/>
      <c r="G75" s="73"/>
      <c r="H75" s="73"/>
      <c r="I75" s="73"/>
      <c r="J75" s="73"/>
    </row>
    <row r="76" spans="1:17" ht="15" x14ac:dyDescent="0.2">
      <c r="A76" s="65"/>
      <c r="B76" s="65"/>
      <c r="C76" s="65"/>
      <c r="D76" s="65"/>
      <c r="E76" s="65"/>
      <c r="F76" s="65"/>
      <c r="G76" s="65"/>
      <c r="H76" s="65"/>
      <c r="I76" s="65"/>
      <c r="J76" s="65"/>
    </row>
    <row r="77" spans="1:17" ht="15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</row>
    <row r="82" spans="1:10" x14ac:dyDescent="0.2">
      <c r="A82" s="66"/>
      <c r="B82" s="66"/>
      <c r="C82" s="66"/>
      <c r="D82" s="66"/>
      <c r="E82" s="66"/>
      <c r="F82" s="66"/>
      <c r="G82" s="66"/>
      <c r="H82" s="66"/>
      <c r="I82" s="66"/>
      <c r="J82" s="66"/>
    </row>
  </sheetData>
  <sheetProtection algorithmName="SHA-512" hashValue="O8W1j8b3gXZ/PrDKzPkvcG0937z3LjlkeixH81eEOFC9T2QvnSR9A/FuNpkdo6qqYVdfXnO/txZ++HUxb+4mDg==" saltValue="cuKnjRj4/W10bc6j6HMjeg==" spinCount="100000" sheet="1" objects="1" scenarios="1"/>
  <mergeCells count="37">
    <mergeCell ref="N14:O14"/>
    <mergeCell ref="P14:Q14"/>
    <mergeCell ref="L14:M14"/>
    <mergeCell ref="I9:J9"/>
    <mergeCell ref="I12:J12"/>
    <mergeCell ref="A3:J3"/>
    <mergeCell ref="A4:J4"/>
    <mergeCell ref="A5:J5"/>
    <mergeCell ref="A8:B11"/>
    <mergeCell ref="C8:D8"/>
    <mergeCell ref="E8:F8"/>
    <mergeCell ref="G8:H8"/>
    <mergeCell ref="I8:J8"/>
    <mergeCell ref="C10:C11"/>
    <mergeCell ref="D10:D11"/>
    <mergeCell ref="E10:E11"/>
    <mergeCell ref="F10:F11"/>
    <mergeCell ref="G10:G11"/>
    <mergeCell ref="C9:D9"/>
    <mergeCell ref="E9:F9"/>
    <mergeCell ref="G9:H9"/>
    <mergeCell ref="A74:J74"/>
    <mergeCell ref="A33:J33"/>
    <mergeCell ref="A51:J51"/>
    <mergeCell ref="H10:H11"/>
    <mergeCell ref="I10:I11"/>
    <mergeCell ref="J10:J11"/>
    <mergeCell ref="E70:F70"/>
    <mergeCell ref="G70:H70"/>
    <mergeCell ref="I70:J70"/>
    <mergeCell ref="A12:B12"/>
    <mergeCell ref="C12:D12"/>
    <mergeCell ref="E12:F12"/>
    <mergeCell ref="G12:H12"/>
    <mergeCell ref="A14:B14"/>
    <mergeCell ref="A70:B70"/>
    <mergeCell ref="C70:D70"/>
  </mergeCells>
  <printOptions horizontalCentered="1"/>
  <pageMargins left="0" right="0" top="0.15748031496062992" bottom="0" header="0.31496062992125984" footer="0.31496062992125984"/>
  <pageSetup paperSize="9" scale="56" fitToWidth="0" orientation="portrait" r:id="rId1"/>
  <headerFooter scaleWithDoc="0" alignWithMargins="0">
    <oddFooter>&amp;C&amp;"Arial,Regular"&amp;10 16</oddFooter>
  </headerFooter>
  <rowBreaks count="1" manualBreakCount="1">
    <brk id="74" max="9" man="1"/>
  </rowBreaks>
  <colBreaks count="1" manualBreakCount="1">
    <brk id="10" max="1048575" man="1"/>
  </colBreaks>
  <customProperties>
    <customPr name="DVSECTION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J81"/>
  <sheetViews>
    <sheetView zoomScaleNormal="100" workbookViewId="0">
      <pane ySplit="10" topLeftCell="A11" activePane="bottomLeft" state="frozen"/>
      <selection activeCell="E13" sqref="E13"/>
      <selection pane="bottomLeft" activeCell="A7" sqref="A7:B10"/>
    </sheetView>
  </sheetViews>
  <sheetFormatPr defaultColWidth="9.140625" defaultRowHeight="14.25" x14ac:dyDescent="0.2"/>
  <cols>
    <col min="1" max="1" width="20.7109375" style="24" customWidth="1"/>
    <col min="2" max="2" width="10.7109375" style="25" customWidth="1"/>
    <col min="3" max="3" width="12.7109375" style="24" customWidth="1"/>
    <col min="4" max="4" width="25.7109375" style="24" customWidth="1"/>
    <col min="5" max="5" width="12.7109375" style="24" customWidth="1"/>
    <col min="6" max="6" width="25.7109375" style="24" customWidth="1"/>
    <col min="7" max="7" width="12.7109375" style="24" customWidth="1"/>
    <col min="8" max="8" width="25.7109375" style="24" customWidth="1"/>
    <col min="9" max="9" width="11.42578125" style="26" customWidth="1"/>
    <col min="10" max="10" width="25.7109375" style="26" customWidth="1"/>
    <col min="11" max="16384" width="9.140625" style="26"/>
  </cols>
  <sheetData>
    <row r="1" spans="1:9" ht="14.25" customHeight="1" x14ac:dyDescent="0.2"/>
    <row r="2" spans="1:9" ht="11.25" customHeight="1" x14ac:dyDescent="0.2"/>
    <row r="3" spans="1:9" ht="17.25" customHeight="1" x14ac:dyDescent="0.2">
      <c r="A3" s="148" t="s">
        <v>131</v>
      </c>
      <c r="B3" s="148"/>
      <c r="C3" s="148"/>
      <c r="D3" s="148"/>
      <c r="E3" s="148"/>
      <c r="F3" s="148"/>
      <c r="G3" s="148"/>
      <c r="H3" s="148"/>
    </row>
    <row r="4" spans="1:9" ht="17.25" customHeight="1" x14ac:dyDescent="0.2">
      <c r="A4" s="147" t="s">
        <v>80</v>
      </c>
      <c r="B4" s="147"/>
      <c r="C4" s="147"/>
      <c r="D4" s="147"/>
      <c r="E4" s="147"/>
      <c r="F4" s="147"/>
      <c r="G4" s="147"/>
      <c r="H4" s="147"/>
    </row>
    <row r="5" spans="1:9" ht="17.25" customHeight="1" x14ac:dyDescent="0.2">
      <c r="A5" s="148" t="s">
        <v>34</v>
      </c>
      <c r="B5" s="148"/>
      <c r="C5" s="148"/>
      <c r="D5" s="148"/>
      <c r="E5" s="148"/>
      <c r="F5" s="148"/>
      <c r="G5" s="148"/>
      <c r="H5" s="148"/>
    </row>
    <row r="6" spans="1:9" s="5" customFormat="1" ht="15" customHeight="1" thickBot="1" x14ac:dyDescent="0.25">
      <c r="A6" s="14"/>
      <c r="F6" s="72"/>
      <c r="H6" s="29"/>
    </row>
    <row r="7" spans="1:9" s="59" customFormat="1" ht="54.75" customHeight="1" x14ac:dyDescent="0.25">
      <c r="A7" s="166" t="s">
        <v>147</v>
      </c>
      <c r="B7" s="166"/>
      <c r="C7" s="166" t="s">
        <v>66</v>
      </c>
      <c r="D7" s="166"/>
      <c r="E7" s="166" t="s">
        <v>32</v>
      </c>
      <c r="F7" s="166"/>
      <c r="G7" s="166" t="s">
        <v>10</v>
      </c>
      <c r="H7" s="166"/>
    </row>
    <row r="8" spans="1:9" s="31" customFormat="1" ht="17.25" customHeight="1" x14ac:dyDescent="0.2">
      <c r="A8" s="153"/>
      <c r="B8" s="153"/>
      <c r="C8" s="198">
        <v>465</v>
      </c>
      <c r="D8" s="198"/>
      <c r="E8" s="198">
        <v>466</v>
      </c>
      <c r="F8" s="198"/>
      <c r="G8" s="198" t="s">
        <v>37</v>
      </c>
      <c r="H8" s="198"/>
    </row>
    <row r="9" spans="1:9" s="31" customFormat="1" ht="35.25" customHeight="1" x14ac:dyDescent="0.2">
      <c r="A9" s="153"/>
      <c r="B9" s="153"/>
      <c r="C9" s="153" t="s">
        <v>132</v>
      </c>
      <c r="D9" s="153" t="s">
        <v>133</v>
      </c>
      <c r="E9" s="153" t="s">
        <v>132</v>
      </c>
      <c r="F9" s="153" t="s">
        <v>133</v>
      </c>
      <c r="G9" s="153" t="s">
        <v>132</v>
      </c>
      <c r="H9" s="153" t="s">
        <v>133</v>
      </c>
    </row>
    <row r="10" spans="1:9" s="31" customFormat="1" ht="35.25" customHeight="1" thickBot="1" x14ac:dyDescent="0.25">
      <c r="A10" s="154"/>
      <c r="B10" s="154"/>
      <c r="C10" s="154"/>
      <c r="D10" s="154"/>
      <c r="E10" s="154"/>
      <c r="F10" s="154"/>
      <c r="G10" s="154"/>
      <c r="H10" s="154"/>
    </row>
    <row r="11" spans="1:9" ht="20.100000000000001" customHeight="1" x14ac:dyDescent="0.2">
      <c r="A11" s="171" t="s">
        <v>127</v>
      </c>
      <c r="B11" s="171"/>
      <c r="C11" s="193">
        <f>'1 '!D23</f>
        <v>5.4</v>
      </c>
      <c r="D11" s="193"/>
      <c r="E11" s="193">
        <f>'1 '!D24</f>
        <v>15.9</v>
      </c>
      <c r="F11" s="193"/>
      <c r="G11" s="193">
        <f>'1 '!D25</f>
        <v>1.4</v>
      </c>
      <c r="H11" s="193"/>
    </row>
    <row r="12" spans="1:9" s="31" customFormat="1" ht="9" customHeight="1" x14ac:dyDescent="0.2">
      <c r="B12" s="34"/>
      <c r="C12" s="57"/>
      <c r="D12" s="58"/>
      <c r="E12" s="57"/>
      <c r="F12" s="58"/>
      <c r="G12" s="57"/>
      <c r="H12" s="58"/>
      <c r="I12" s="35"/>
    </row>
    <row r="13" spans="1:9" ht="20.100000000000001" customHeight="1" x14ac:dyDescent="0.25">
      <c r="A13" s="188" t="s">
        <v>126</v>
      </c>
      <c r="B13" s="188"/>
      <c r="C13" s="112"/>
      <c r="D13" s="113"/>
      <c r="E13" s="112"/>
      <c r="F13" s="113"/>
      <c r="G13" s="112"/>
      <c r="H13" s="113"/>
      <c r="I13" s="124"/>
    </row>
    <row r="14" spans="1:9" s="31" customFormat="1" ht="9.75" customHeight="1" x14ac:dyDescent="0.2">
      <c r="B14" s="34"/>
      <c r="C14" s="60"/>
      <c r="D14" s="61"/>
      <c r="E14" s="60"/>
      <c r="F14" s="61"/>
      <c r="G14" s="60"/>
      <c r="H14" s="61"/>
      <c r="I14" s="35"/>
    </row>
    <row r="15" spans="1:9" s="31" customFormat="1" ht="18" customHeight="1" x14ac:dyDescent="0.2">
      <c r="A15" s="121">
        <v>2020</v>
      </c>
      <c r="B15" s="122" t="s">
        <v>20</v>
      </c>
      <c r="C15" s="114">
        <v>113.6</v>
      </c>
      <c r="D15" s="78">
        <v>116</v>
      </c>
      <c r="E15" s="115">
        <v>137.30000000000001</v>
      </c>
      <c r="F15" s="115">
        <v>138.19999999999999</v>
      </c>
      <c r="G15" s="114">
        <v>125.9</v>
      </c>
      <c r="H15" s="78">
        <v>125.9</v>
      </c>
      <c r="I15" s="90"/>
    </row>
    <row r="16" spans="1:9" s="31" customFormat="1" ht="18" customHeight="1" x14ac:dyDescent="0.2">
      <c r="A16" s="121"/>
      <c r="B16" s="122" t="s">
        <v>3</v>
      </c>
      <c r="C16" s="114">
        <v>90.9</v>
      </c>
      <c r="D16" s="78">
        <v>94.4</v>
      </c>
      <c r="E16" s="115">
        <v>90.2</v>
      </c>
      <c r="F16" s="115">
        <v>94.7</v>
      </c>
      <c r="G16" s="114">
        <v>93.3</v>
      </c>
      <c r="H16" s="78">
        <v>93.3</v>
      </c>
      <c r="I16" s="90"/>
    </row>
    <row r="17" spans="1:9" s="31" customFormat="1" ht="18" customHeight="1" x14ac:dyDescent="0.2">
      <c r="A17" s="121"/>
      <c r="B17" s="122" t="s">
        <v>4</v>
      </c>
      <c r="C17" s="114">
        <v>121.8</v>
      </c>
      <c r="D17" s="78">
        <v>120.1</v>
      </c>
      <c r="E17" s="115">
        <v>125.2</v>
      </c>
      <c r="F17" s="115">
        <v>124.8</v>
      </c>
      <c r="G17" s="114">
        <v>127.8</v>
      </c>
      <c r="H17" s="78">
        <v>127.8</v>
      </c>
      <c r="I17" s="90"/>
    </row>
    <row r="18" spans="1:9" s="31" customFormat="1" ht="18" customHeight="1" x14ac:dyDescent="0.2">
      <c r="A18" s="121"/>
      <c r="B18" s="122" t="s">
        <v>125</v>
      </c>
      <c r="C18" s="114">
        <v>125.2</v>
      </c>
      <c r="D18" s="78">
        <v>119.7</v>
      </c>
      <c r="E18" s="115">
        <v>137</v>
      </c>
      <c r="F18" s="115">
        <v>129.80000000000001</v>
      </c>
      <c r="G18" s="114">
        <v>126.7</v>
      </c>
      <c r="H18" s="78">
        <v>126.7</v>
      </c>
      <c r="I18" s="90"/>
    </row>
    <row r="19" spans="1:9" s="31" customFormat="1" ht="18" customHeight="1" x14ac:dyDescent="0.2">
      <c r="A19" s="121"/>
      <c r="B19" s="122"/>
      <c r="C19" s="114"/>
      <c r="D19" s="78"/>
      <c r="E19" s="115"/>
      <c r="F19" s="115"/>
      <c r="G19" s="114"/>
      <c r="H19" s="78"/>
      <c r="I19" s="90"/>
    </row>
    <row r="20" spans="1:9" s="31" customFormat="1" ht="18" customHeight="1" x14ac:dyDescent="0.2">
      <c r="A20" s="121">
        <v>2021</v>
      </c>
      <c r="B20" s="122" t="s">
        <v>120</v>
      </c>
      <c r="C20" s="114">
        <v>119.1</v>
      </c>
      <c r="D20" s="78">
        <v>121.5</v>
      </c>
      <c r="E20" s="115">
        <v>132.69999999999999</v>
      </c>
      <c r="F20" s="115">
        <v>134</v>
      </c>
      <c r="G20" s="114">
        <v>130.30000000000001</v>
      </c>
      <c r="H20" s="78">
        <v>130.30000000000001</v>
      </c>
      <c r="I20" s="90"/>
    </row>
    <row r="21" spans="1:9" s="31" customFormat="1" ht="18" customHeight="1" x14ac:dyDescent="0.2">
      <c r="A21" s="121"/>
      <c r="B21" s="122" t="s">
        <v>41</v>
      </c>
      <c r="C21" s="114">
        <v>111.6</v>
      </c>
      <c r="D21" s="78">
        <v>116.5</v>
      </c>
      <c r="E21" s="115">
        <v>130.69999999999999</v>
      </c>
      <c r="F21" s="115">
        <v>138.1</v>
      </c>
      <c r="G21" s="114">
        <v>130.19999999999999</v>
      </c>
      <c r="H21" s="78">
        <v>130.19999999999999</v>
      </c>
      <c r="I21" s="90"/>
    </row>
    <row r="22" spans="1:9" s="31" customFormat="1" ht="18" customHeight="1" x14ac:dyDescent="0.2">
      <c r="A22" s="121"/>
      <c r="B22" s="122" t="s">
        <v>121</v>
      </c>
      <c r="C22" s="114">
        <v>112.2</v>
      </c>
      <c r="D22" s="78">
        <v>110.7</v>
      </c>
      <c r="E22" s="115">
        <v>123.9</v>
      </c>
      <c r="F22" s="115">
        <v>123.8</v>
      </c>
      <c r="G22" s="114">
        <v>127.2</v>
      </c>
      <c r="H22" s="78">
        <v>127.2</v>
      </c>
      <c r="I22" s="90"/>
    </row>
    <row r="23" spans="1:9" s="31" customFormat="1" ht="18" customHeight="1" x14ac:dyDescent="0.2">
      <c r="A23" s="121"/>
      <c r="B23" s="122" t="s">
        <v>82</v>
      </c>
      <c r="C23" s="114">
        <v>126.5</v>
      </c>
      <c r="D23" s="78">
        <v>120.4</v>
      </c>
      <c r="E23" s="115">
        <v>131.6</v>
      </c>
      <c r="F23" s="115">
        <v>124.2</v>
      </c>
      <c r="G23" s="114">
        <v>130.69999999999999</v>
      </c>
      <c r="H23" s="78">
        <v>130.69999999999999</v>
      </c>
      <c r="I23" s="90"/>
    </row>
    <row r="24" spans="1:9" s="31" customFormat="1" ht="18" customHeight="1" x14ac:dyDescent="0.2">
      <c r="A24" s="121"/>
      <c r="B24" s="122"/>
      <c r="C24" s="114"/>
      <c r="D24" s="78"/>
      <c r="E24" s="115"/>
      <c r="F24" s="115"/>
      <c r="G24" s="114"/>
      <c r="H24" s="78"/>
      <c r="I24" s="90"/>
    </row>
    <row r="25" spans="1:9" s="31" customFormat="1" ht="18" customHeight="1" x14ac:dyDescent="0.2">
      <c r="A25" s="121">
        <v>2022</v>
      </c>
      <c r="B25" s="122" t="s">
        <v>120</v>
      </c>
      <c r="C25" s="114">
        <v>122.3</v>
      </c>
      <c r="D25" s="78">
        <v>124.7</v>
      </c>
      <c r="E25" s="115">
        <v>128.69999999999999</v>
      </c>
      <c r="F25" s="115">
        <v>129.80000000000001</v>
      </c>
      <c r="G25" s="114">
        <v>129</v>
      </c>
      <c r="H25" s="78">
        <v>129</v>
      </c>
      <c r="I25" s="90"/>
    </row>
    <row r="26" spans="1:9" s="31" customFormat="1" ht="18" customHeight="1" x14ac:dyDescent="0.2">
      <c r="A26" s="121"/>
      <c r="B26" s="122" t="s">
        <v>122</v>
      </c>
      <c r="C26" s="114">
        <v>123.8</v>
      </c>
      <c r="D26" s="78">
        <v>129.69999999999999</v>
      </c>
      <c r="E26" s="115">
        <v>126.6</v>
      </c>
      <c r="F26" s="115">
        <v>134.1</v>
      </c>
      <c r="G26" s="114">
        <v>129.80000000000001</v>
      </c>
      <c r="H26" s="78">
        <v>129.80000000000001</v>
      </c>
      <c r="I26" s="90"/>
    </row>
    <row r="27" spans="1:9" s="31" customFormat="1" ht="18" customHeight="1" x14ac:dyDescent="0.2">
      <c r="A27" s="121"/>
      <c r="B27" s="122" t="s">
        <v>121</v>
      </c>
      <c r="C27" s="114">
        <v>123.2</v>
      </c>
      <c r="D27" s="78">
        <v>122</v>
      </c>
      <c r="E27" s="115">
        <v>125.6</v>
      </c>
      <c r="F27" s="115">
        <v>125.6</v>
      </c>
      <c r="G27" s="114">
        <v>130.6</v>
      </c>
      <c r="H27" s="78">
        <v>130.6</v>
      </c>
      <c r="I27" s="90"/>
    </row>
    <row r="28" spans="1:9" s="31" customFormat="1" ht="18" customHeight="1" x14ac:dyDescent="0.2">
      <c r="A28" s="121"/>
      <c r="B28" s="122" t="s">
        <v>123</v>
      </c>
      <c r="C28" s="114">
        <v>122</v>
      </c>
      <c r="D28" s="78">
        <v>115.8</v>
      </c>
      <c r="E28" s="115">
        <v>122</v>
      </c>
      <c r="F28" s="115">
        <v>114.8</v>
      </c>
      <c r="G28" s="114">
        <v>133.4</v>
      </c>
      <c r="H28" s="78">
        <v>133.4</v>
      </c>
      <c r="I28" s="90"/>
    </row>
    <row r="29" spans="1:9" s="31" customFormat="1" ht="18" customHeight="1" x14ac:dyDescent="0.2">
      <c r="A29" s="121"/>
      <c r="B29" s="122"/>
      <c r="C29" s="114"/>
      <c r="D29" s="78"/>
      <c r="E29" s="115"/>
      <c r="F29" s="115"/>
      <c r="G29" s="114"/>
      <c r="H29" s="78"/>
      <c r="I29" s="90"/>
    </row>
    <row r="30" spans="1:9" s="31" customFormat="1" ht="18" customHeight="1" x14ac:dyDescent="0.2">
      <c r="A30" s="121">
        <v>2023</v>
      </c>
      <c r="B30" s="122" t="s">
        <v>124</v>
      </c>
      <c r="C30" s="114">
        <v>120.2</v>
      </c>
      <c r="D30" s="78">
        <v>122.7</v>
      </c>
      <c r="E30" s="115">
        <v>122.3</v>
      </c>
      <c r="F30" s="115">
        <v>123.5</v>
      </c>
      <c r="G30" s="114">
        <v>133.69999999999999</v>
      </c>
      <c r="H30" s="78">
        <v>133.69999999999999</v>
      </c>
      <c r="I30" s="90"/>
    </row>
    <row r="31" spans="1:9" s="31" customFormat="1" ht="18" customHeight="1" thickBot="1" x14ac:dyDescent="0.25">
      <c r="A31" s="121"/>
      <c r="B31" s="131" t="s">
        <v>83</v>
      </c>
      <c r="C31" s="129"/>
      <c r="D31" s="130"/>
      <c r="E31" s="115"/>
      <c r="F31" s="115"/>
      <c r="G31" s="129"/>
      <c r="H31" s="130"/>
      <c r="I31" s="42"/>
    </row>
    <row r="32" spans="1:9" s="31" customFormat="1" ht="31.5" customHeight="1" x14ac:dyDescent="0.2">
      <c r="A32" s="189" t="s">
        <v>47</v>
      </c>
      <c r="B32" s="189"/>
      <c r="C32" s="189"/>
      <c r="D32" s="189"/>
      <c r="E32" s="189"/>
      <c r="F32" s="189"/>
      <c r="G32" s="189"/>
      <c r="H32" s="189"/>
      <c r="I32" s="42"/>
    </row>
    <row r="33" spans="1:9" s="31" customFormat="1" ht="18" customHeight="1" x14ac:dyDescent="0.2">
      <c r="A33" s="121">
        <v>2020</v>
      </c>
      <c r="B33" s="122" t="s">
        <v>20</v>
      </c>
      <c r="C33" s="114">
        <v>-1.4</v>
      </c>
      <c r="D33" s="78"/>
      <c r="E33" s="115">
        <v>3.7</v>
      </c>
      <c r="F33" s="115"/>
      <c r="G33" s="114">
        <v>2.8</v>
      </c>
      <c r="H33" s="78"/>
      <c r="I33" s="42"/>
    </row>
    <row r="34" spans="1:9" s="31" customFormat="1" ht="18" customHeight="1" x14ac:dyDescent="0.2">
      <c r="A34" s="121"/>
      <c r="B34" s="122" t="s">
        <v>3</v>
      </c>
      <c r="C34" s="114">
        <v>-23.8</v>
      </c>
      <c r="D34" s="78"/>
      <c r="E34" s="115">
        <v>-33</v>
      </c>
      <c r="F34" s="115"/>
      <c r="G34" s="114">
        <v>-20.2</v>
      </c>
      <c r="H34" s="78"/>
      <c r="I34" s="42"/>
    </row>
    <row r="35" spans="1:9" s="31" customFormat="1" ht="18" customHeight="1" x14ac:dyDescent="0.2">
      <c r="A35" s="121"/>
      <c r="B35" s="122" t="s">
        <v>4</v>
      </c>
      <c r="C35" s="114">
        <v>1.1000000000000001</v>
      </c>
      <c r="D35" s="78"/>
      <c r="E35" s="115">
        <v>-13.2</v>
      </c>
      <c r="F35" s="115"/>
      <c r="G35" s="114">
        <v>5.8</v>
      </c>
      <c r="H35" s="78"/>
      <c r="I35" s="42"/>
    </row>
    <row r="36" spans="1:9" s="31" customFormat="1" ht="18" customHeight="1" x14ac:dyDescent="0.2">
      <c r="A36" s="121"/>
      <c r="B36" s="122" t="s">
        <v>125</v>
      </c>
      <c r="C36" s="114">
        <v>3.3</v>
      </c>
      <c r="D36" s="78"/>
      <c r="E36" s="115">
        <v>-6</v>
      </c>
      <c r="F36" s="115"/>
      <c r="G36" s="114">
        <v>8.1999999999999993</v>
      </c>
      <c r="H36" s="78"/>
      <c r="I36" s="42"/>
    </row>
    <row r="37" spans="1:9" s="31" customFormat="1" ht="18" customHeight="1" x14ac:dyDescent="0.2">
      <c r="A37" s="121"/>
      <c r="B37" s="122"/>
      <c r="C37" s="114"/>
      <c r="D37" s="78"/>
      <c r="E37" s="115"/>
      <c r="F37" s="115"/>
      <c r="G37" s="114"/>
      <c r="H37" s="78"/>
      <c r="I37" s="42"/>
    </row>
    <row r="38" spans="1:9" s="31" customFormat="1" ht="18" customHeight="1" x14ac:dyDescent="0.2">
      <c r="A38" s="121">
        <v>2021</v>
      </c>
      <c r="B38" s="122" t="s">
        <v>120</v>
      </c>
      <c r="C38" s="114">
        <v>4.8</v>
      </c>
      <c r="D38" s="78"/>
      <c r="E38" s="115">
        <v>-3.3</v>
      </c>
      <c r="F38" s="115"/>
      <c r="G38" s="114">
        <v>3.5</v>
      </c>
      <c r="H38" s="78"/>
      <c r="I38" s="42"/>
    </row>
    <row r="39" spans="1:9" s="31" customFormat="1" ht="18" customHeight="1" x14ac:dyDescent="0.2">
      <c r="A39" s="121"/>
      <c r="B39" s="122" t="s">
        <v>41</v>
      </c>
      <c r="C39" s="114">
        <v>22.9</v>
      </c>
      <c r="D39" s="78"/>
      <c r="E39" s="115">
        <v>44.9</v>
      </c>
      <c r="F39" s="115"/>
      <c r="G39" s="114">
        <v>39.5</v>
      </c>
      <c r="H39" s="78"/>
      <c r="I39" s="42"/>
    </row>
    <row r="40" spans="1:9" s="31" customFormat="1" ht="18" customHeight="1" x14ac:dyDescent="0.2">
      <c r="A40" s="121"/>
      <c r="B40" s="122" t="s">
        <v>121</v>
      </c>
      <c r="C40" s="114">
        <v>-7.9</v>
      </c>
      <c r="D40" s="78"/>
      <c r="E40" s="115">
        <v>-1</v>
      </c>
      <c r="F40" s="115"/>
      <c r="G40" s="114">
        <v>-0.5</v>
      </c>
      <c r="H40" s="78"/>
      <c r="I40" s="42"/>
    </row>
    <row r="41" spans="1:9" s="31" customFormat="1" ht="18" customHeight="1" x14ac:dyDescent="0.2">
      <c r="A41" s="121"/>
      <c r="B41" s="122" t="s">
        <v>82</v>
      </c>
      <c r="C41" s="114">
        <v>1.1000000000000001</v>
      </c>
      <c r="D41" s="78"/>
      <c r="E41" s="115">
        <v>-4</v>
      </c>
      <c r="F41" s="115"/>
      <c r="G41" s="114">
        <v>3.1</v>
      </c>
      <c r="H41" s="78"/>
      <c r="I41" s="42"/>
    </row>
    <row r="42" spans="1:9" s="31" customFormat="1" ht="18" customHeight="1" x14ac:dyDescent="0.2">
      <c r="A42" s="121"/>
      <c r="B42" s="122"/>
      <c r="C42" s="114"/>
      <c r="D42" s="78"/>
      <c r="E42" s="115"/>
      <c r="F42" s="115"/>
      <c r="G42" s="114"/>
      <c r="H42" s="78"/>
      <c r="I42" s="42"/>
    </row>
    <row r="43" spans="1:9" s="31" customFormat="1" ht="18" customHeight="1" x14ac:dyDescent="0.2">
      <c r="A43" s="121">
        <v>2022</v>
      </c>
      <c r="B43" s="122" t="s">
        <v>120</v>
      </c>
      <c r="C43" s="114">
        <v>2.7</v>
      </c>
      <c r="D43" s="78"/>
      <c r="E43" s="115">
        <v>-3.1</v>
      </c>
      <c r="F43" s="115"/>
      <c r="G43" s="114">
        <v>-1</v>
      </c>
      <c r="H43" s="78"/>
      <c r="I43" s="42"/>
    </row>
    <row r="44" spans="1:9" s="31" customFormat="1" ht="18" customHeight="1" x14ac:dyDescent="0.2">
      <c r="A44" s="121"/>
      <c r="B44" s="122" t="s">
        <v>122</v>
      </c>
      <c r="C44" s="114">
        <v>10.9</v>
      </c>
      <c r="D44" s="78"/>
      <c r="E44" s="115">
        <v>-3.1</v>
      </c>
      <c r="F44" s="115"/>
      <c r="G44" s="114">
        <v>-0.3</v>
      </c>
      <c r="H44" s="78"/>
      <c r="I44" s="42"/>
    </row>
    <row r="45" spans="1:9" s="31" customFormat="1" ht="18" customHeight="1" x14ac:dyDescent="0.2">
      <c r="A45" s="121"/>
      <c r="B45" s="122" t="s">
        <v>121</v>
      </c>
      <c r="C45" s="114">
        <v>9.8000000000000007</v>
      </c>
      <c r="D45" s="78"/>
      <c r="E45" s="115">
        <v>1.3</v>
      </c>
      <c r="F45" s="115"/>
      <c r="G45" s="114">
        <v>2.7</v>
      </c>
      <c r="H45" s="78"/>
      <c r="I45" s="42"/>
    </row>
    <row r="46" spans="1:9" s="31" customFormat="1" ht="18" customHeight="1" x14ac:dyDescent="0.2">
      <c r="A46" s="121"/>
      <c r="B46" s="122" t="s">
        <v>123</v>
      </c>
      <c r="C46" s="114">
        <v>-3.6</v>
      </c>
      <c r="D46" s="78"/>
      <c r="E46" s="115">
        <v>-7.3</v>
      </c>
      <c r="F46" s="115"/>
      <c r="G46" s="114">
        <v>2</v>
      </c>
      <c r="H46" s="78"/>
      <c r="I46" s="42"/>
    </row>
    <row r="47" spans="1:9" s="31" customFormat="1" ht="18" customHeight="1" x14ac:dyDescent="0.2">
      <c r="A47" s="121"/>
      <c r="B47" s="122"/>
      <c r="C47" s="114"/>
      <c r="D47" s="78"/>
      <c r="E47" s="115"/>
      <c r="F47" s="115"/>
      <c r="G47" s="114"/>
      <c r="H47" s="78"/>
      <c r="I47" s="42"/>
    </row>
    <row r="48" spans="1:9" s="31" customFormat="1" ht="18" customHeight="1" x14ac:dyDescent="0.2">
      <c r="A48" s="121">
        <v>2023</v>
      </c>
      <c r="B48" s="122" t="s">
        <v>124</v>
      </c>
      <c r="C48" s="114">
        <v>-1.8</v>
      </c>
      <c r="D48" s="78"/>
      <c r="E48" s="115">
        <v>-4.9000000000000004</v>
      </c>
      <c r="F48" s="115"/>
      <c r="G48" s="114">
        <v>3.7</v>
      </c>
      <c r="H48" s="78"/>
      <c r="I48" s="42"/>
    </row>
    <row r="49" spans="1:9" s="31" customFormat="1" ht="18" customHeight="1" thickBot="1" x14ac:dyDescent="0.25">
      <c r="A49" s="121"/>
      <c r="B49" s="122"/>
      <c r="C49" s="129"/>
      <c r="D49" s="130"/>
      <c r="E49" s="115"/>
      <c r="F49" s="115"/>
      <c r="G49" s="129"/>
      <c r="H49" s="130"/>
      <c r="I49" s="42"/>
    </row>
    <row r="50" spans="1:9" s="31" customFormat="1" ht="30.75" customHeight="1" x14ac:dyDescent="0.2">
      <c r="A50" s="189" t="s">
        <v>49</v>
      </c>
      <c r="B50" s="189"/>
      <c r="C50" s="189"/>
      <c r="D50" s="189"/>
      <c r="E50" s="189"/>
      <c r="F50" s="189"/>
      <c r="G50" s="189"/>
      <c r="H50" s="189"/>
      <c r="I50" s="42"/>
    </row>
    <row r="51" spans="1:9" s="31" customFormat="1" ht="18" customHeight="1" x14ac:dyDescent="0.2">
      <c r="A51" s="121">
        <v>2020</v>
      </c>
      <c r="B51" s="122" t="s">
        <v>20</v>
      </c>
      <c r="C51" s="114">
        <v>-6.2</v>
      </c>
      <c r="D51" s="78">
        <v>-0.7</v>
      </c>
      <c r="E51" s="115">
        <v>-5.9</v>
      </c>
      <c r="F51" s="115">
        <v>-0.9</v>
      </c>
      <c r="G51" s="114">
        <v>7.5</v>
      </c>
      <c r="H51" s="78">
        <v>7.5</v>
      </c>
      <c r="I51" s="90"/>
    </row>
    <row r="52" spans="1:9" s="31" customFormat="1" ht="18" customHeight="1" x14ac:dyDescent="0.2">
      <c r="A52" s="121"/>
      <c r="B52" s="122" t="s">
        <v>3</v>
      </c>
      <c r="C52" s="114">
        <v>-20</v>
      </c>
      <c r="D52" s="78">
        <v>-18.600000000000001</v>
      </c>
      <c r="E52" s="115">
        <v>-34.299999999999997</v>
      </c>
      <c r="F52" s="115">
        <v>-31.5</v>
      </c>
      <c r="G52" s="114">
        <v>-25.9</v>
      </c>
      <c r="H52" s="78">
        <v>-25.9</v>
      </c>
      <c r="I52" s="90"/>
    </row>
    <row r="53" spans="1:9" s="31" customFormat="1" ht="18" customHeight="1" x14ac:dyDescent="0.2">
      <c r="A53" s="121"/>
      <c r="B53" s="122" t="s">
        <v>4</v>
      </c>
      <c r="C53" s="114">
        <v>34</v>
      </c>
      <c r="D53" s="78">
        <v>27.2</v>
      </c>
      <c r="E53" s="115">
        <v>38.799999999999997</v>
      </c>
      <c r="F53" s="115">
        <v>31.8</v>
      </c>
      <c r="G53" s="114">
        <v>37</v>
      </c>
      <c r="H53" s="78">
        <v>37</v>
      </c>
      <c r="I53" s="90"/>
    </row>
    <row r="54" spans="1:9" s="31" customFormat="1" ht="18" customHeight="1" x14ac:dyDescent="0.2">
      <c r="A54" s="121"/>
      <c r="B54" s="122" t="s">
        <v>125</v>
      </c>
      <c r="C54" s="114">
        <v>2.8</v>
      </c>
      <c r="D54" s="78">
        <v>-0.4</v>
      </c>
      <c r="E54" s="115">
        <v>9.5</v>
      </c>
      <c r="F54" s="115">
        <v>4.0999999999999996</v>
      </c>
      <c r="G54" s="114">
        <v>-0.8</v>
      </c>
      <c r="H54" s="78">
        <v>-0.8</v>
      </c>
      <c r="I54" s="90"/>
    </row>
    <row r="55" spans="1:9" s="31" customFormat="1" ht="18" customHeight="1" x14ac:dyDescent="0.2">
      <c r="A55" s="121"/>
      <c r="B55" s="122"/>
      <c r="C55" s="114"/>
      <c r="D55" s="78"/>
      <c r="E55" s="115"/>
      <c r="F55" s="115"/>
      <c r="G55" s="114"/>
      <c r="H55" s="78"/>
      <c r="I55" s="90"/>
    </row>
    <row r="56" spans="1:9" s="31" customFormat="1" ht="18" customHeight="1" x14ac:dyDescent="0.2">
      <c r="A56" s="121">
        <v>2021</v>
      </c>
      <c r="B56" s="122" t="s">
        <v>120</v>
      </c>
      <c r="C56" s="114">
        <v>-4.8</v>
      </c>
      <c r="D56" s="78">
        <v>1.5</v>
      </c>
      <c r="E56" s="115">
        <v>-3.1</v>
      </c>
      <c r="F56" s="115">
        <v>3.2</v>
      </c>
      <c r="G56" s="114">
        <v>2.8</v>
      </c>
      <c r="H56" s="78">
        <v>2.8</v>
      </c>
      <c r="I56" s="90"/>
    </row>
    <row r="57" spans="1:9" s="31" customFormat="1" ht="18" customHeight="1" x14ac:dyDescent="0.2">
      <c r="A57" s="121"/>
      <c r="B57" s="122" t="s">
        <v>41</v>
      </c>
      <c r="C57" s="114">
        <v>-6.3</v>
      </c>
      <c r="D57" s="78">
        <v>-4.0999999999999996</v>
      </c>
      <c r="E57" s="115">
        <v>-1.5</v>
      </c>
      <c r="F57" s="115">
        <v>3</v>
      </c>
      <c r="G57" s="114">
        <v>-0.1</v>
      </c>
      <c r="H57" s="78">
        <v>-0.1</v>
      </c>
      <c r="I57" s="90"/>
    </row>
    <row r="58" spans="1:9" s="31" customFormat="1" ht="18" customHeight="1" x14ac:dyDescent="0.2">
      <c r="A58" s="121"/>
      <c r="B58" s="122" t="s">
        <v>121</v>
      </c>
      <c r="C58" s="114">
        <v>0.5</v>
      </c>
      <c r="D58" s="78">
        <v>-4.9000000000000004</v>
      </c>
      <c r="E58" s="115">
        <v>-5.2</v>
      </c>
      <c r="F58" s="115">
        <v>-10.3</v>
      </c>
      <c r="G58" s="114">
        <v>-2.2999999999999998</v>
      </c>
      <c r="H58" s="78">
        <v>-2.2999999999999998</v>
      </c>
      <c r="I58" s="90"/>
    </row>
    <row r="59" spans="1:9" s="31" customFormat="1" ht="18" customHeight="1" x14ac:dyDescent="0.2">
      <c r="A59" s="121"/>
      <c r="B59" s="122" t="s">
        <v>82</v>
      </c>
      <c r="C59" s="114">
        <v>12.8</v>
      </c>
      <c r="D59" s="78">
        <v>8.6999999999999993</v>
      </c>
      <c r="E59" s="115">
        <v>6.2</v>
      </c>
      <c r="F59" s="115">
        <v>0.3</v>
      </c>
      <c r="G59" s="114">
        <v>2.8</v>
      </c>
      <c r="H59" s="78">
        <v>2.8</v>
      </c>
      <c r="I59" s="90"/>
    </row>
    <row r="60" spans="1:9" s="31" customFormat="1" ht="18" customHeight="1" x14ac:dyDescent="0.2">
      <c r="A60" s="121"/>
      <c r="B60" s="122"/>
      <c r="C60" s="114"/>
      <c r="D60" s="78"/>
      <c r="E60" s="115"/>
      <c r="F60" s="115"/>
      <c r="G60" s="114"/>
      <c r="H60" s="78"/>
      <c r="I60" s="90"/>
    </row>
    <row r="61" spans="1:9" s="31" customFormat="1" ht="18" customHeight="1" x14ac:dyDescent="0.2">
      <c r="A61" s="121">
        <v>2022</v>
      </c>
      <c r="B61" s="122" t="s">
        <v>120</v>
      </c>
      <c r="C61" s="114">
        <v>-3.3</v>
      </c>
      <c r="D61" s="78">
        <v>3.6</v>
      </c>
      <c r="E61" s="115">
        <v>-2.2000000000000002</v>
      </c>
      <c r="F61" s="115">
        <v>4.5</v>
      </c>
      <c r="G61" s="114">
        <v>-1.4</v>
      </c>
      <c r="H61" s="78">
        <v>-1.4</v>
      </c>
      <c r="I61" s="90"/>
    </row>
    <row r="62" spans="1:9" s="31" customFormat="1" ht="18" customHeight="1" x14ac:dyDescent="0.2">
      <c r="A62" s="121"/>
      <c r="B62" s="122" t="s">
        <v>122</v>
      </c>
      <c r="C62" s="114">
        <v>1.2</v>
      </c>
      <c r="D62" s="78">
        <v>4</v>
      </c>
      <c r="E62" s="115">
        <v>-1.6</v>
      </c>
      <c r="F62" s="115">
        <v>3.3</v>
      </c>
      <c r="G62" s="114">
        <v>0.7</v>
      </c>
      <c r="H62" s="78">
        <v>0.7</v>
      </c>
      <c r="I62" s="90"/>
    </row>
    <row r="63" spans="1:9" s="31" customFormat="1" ht="18" customHeight="1" x14ac:dyDescent="0.2">
      <c r="A63" s="121"/>
      <c r="B63" s="122" t="s">
        <v>121</v>
      </c>
      <c r="C63" s="114">
        <v>-0.5</v>
      </c>
      <c r="D63" s="78">
        <v>-6</v>
      </c>
      <c r="E63" s="115">
        <v>-0.8</v>
      </c>
      <c r="F63" s="115">
        <v>-6.3</v>
      </c>
      <c r="G63" s="114">
        <v>0.6</v>
      </c>
      <c r="H63" s="78">
        <v>0.6</v>
      </c>
      <c r="I63" s="90"/>
    </row>
    <row r="64" spans="1:9" s="31" customFormat="1" ht="18" customHeight="1" x14ac:dyDescent="0.2">
      <c r="A64" s="121"/>
      <c r="B64" s="122" t="s">
        <v>123</v>
      </c>
      <c r="C64" s="114">
        <v>-1</v>
      </c>
      <c r="D64" s="78">
        <v>-5.0999999999999996</v>
      </c>
      <c r="E64" s="115">
        <v>-2.9</v>
      </c>
      <c r="F64" s="115">
        <v>-8.6</v>
      </c>
      <c r="G64" s="114">
        <v>2.2000000000000002</v>
      </c>
      <c r="H64" s="78">
        <v>2.2000000000000002</v>
      </c>
      <c r="I64" s="90"/>
    </row>
    <row r="65" spans="1:10" s="31" customFormat="1" ht="18" customHeight="1" x14ac:dyDescent="0.2">
      <c r="A65" s="121"/>
      <c r="B65" s="122"/>
      <c r="C65" s="114"/>
      <c r="D65" s="78"/>
      <c r="E65" s="115"/>
      <c r="F65" s="115"/>
      <c r="G65" s="114"/>
      <c r="H65" s="78"/>
      <c r="I65" s="90"/>
    </row>
    <row r="66" spans="1:10" s="31" customFormat="1" ht="18" customHeight="1" x14ac:dyDescent="0.2">
      <c r="A66" s="121">
        <v>2023</v>
      </c>
      <c r="B66" s="122" t="s">
        <v>124</v>
      </c>
      <c r="C66" s="114">
        <v>-1.5</v>
      </c>
      <c r="D66" s="78">
        <v>6</v>
      </c>
      <c r="E66" s="115">
        <v>0.3</v>
      </c>
      <c r="F66" s="115">
        <v>7.6</v>
      </c>
      <c r="G66" s="114">
        <v>0.2</v>
      </c>
      <c r="H66" s="78">
        <v>0.2</v>
      </c>
      <c r="I66" s="90"/>
    </row>
    <row r="67" spans="1:10" s="31" customFormat="1" ht="18" customHeight="1" x14ac:dyDescent="0.2">
      <c r="A67" s="36"/>
      <c r="B67" s="41"/>
      <c r="C67" s="50"/>
      <c r="D67" s="54"/>
      <c r="E67" s="38"/>
      <c r="F67" s="38"/>
      <c r="G67" s="50"/>
      <c r="H67" s="54"/>
      <c r="I67" s="42"/>
    </row>
    <row r="68" spans="1:10" s="31" customFormat="1" ht="0.75" customHeight="1" thickBot="1" x14ac:dyDescent="0.25">
      <c r="B68" s="36"/>
      <c r="C68" s="67"/>
      <c r="D68" s="68"/>
      <c r="E68" s="67"/>
      <c r="F68" s="68"/>
      <c r="G68" s="70"/>
      <c r="H68" s="68"/>
    </row>
    <row r="69" spans="1:10" s="69" customFormat="1" ht="52.15" customHeight="1" thickBot="1" x14ac:dyDescent="0.3">
      <c r="A69" s="191" t="s">
        <v>30</v>
      </c>
      <c r="B69" s="192"/>
      <c r="C69" s="192" t="s">
        <v>67</v>
      </c>
      <c r="D69" s="192"/>
      <c r="E69" s="192" t="s">
        <v>8</v>
      </c>
      <c r="F69" s="192"/>
      <c r="G69" s="162" t="s">
        <v>21</v>
      </c>
      <c r="H69" s="191"/>
    </row>
    <row r="70" spans="1:10" ht="16.5" hidden="1" customHeight="1" x14ac:dyDescent="0.2">
      <c r="A70" s="52"/>
      <c r="B70" s="53"/>
      <c r="C70" s="26"/>
      <c r="D70" s="26"/>
      <c r="E70" s="26"/>
      <c r="F70" s="26"/>
      <c r="G70" s="26"/>
      <c r="H70" s="26"/>
    </row>
    <row r="71" spans="1:10" ht="18" customHeight="1" x14ac:dyDescent="0.2">
      <c r="A71" s="13" t="s">
        <v>44</v>
      </c>
      <c r="B71" s="15"/>
      <c r="C71" s="26"/>
      <c r="D71" s="26"/>
      <c r="E71" s="26"/>
      <c r="F71" s="26"/>
      <c r="G71" s="26"/>
      <c r="H71" s="26"/>
    </row>
    <row r="72" spans="1:10" ht="16.5" x14ac:dyDescent="0.2">
      <c r="A72" s="24" t="s">
        <v>143</v>
      </c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35.25" customHeight="1" x14ac:dyDescent="0.2">
      <c r="A73" s="174" t="s">
        <v>51</v>
      </c>
      <c r="B73" s="174"/>
      <c r="C73" s="174"/>
      <c r="D73" s="174"/>
      <c r="E73" s="174"/>
      <c r="F73" s="174"/>
      <c r="G73" s="174"/>
      <c r="H73" s="174"/>
      <c r="I73" s="63"/>
    </row>
    <row r="74" spans="1:10" ht="15" x14ac:dyDescent="0.2">
      <c r="A74" s="64"/>
      <c r="B74" s="6"/>
      <c r="C74" s="34"/>
      <c r="D74" s="26"/>
      <c r="E74" s="26"/>
      <c r="F74" s="26"/>
      <c r="G74" s="26"/>
      <c r="H74" s="26"/>
    </row>
    <row r="75" spans="1:10" x14ac:dyDescent="0.2">
      <c r="A75" s="26"/>
      <c r="B75" s="26"/>
      <c r="C75" s="26"/>
      <c r="D75" s="26"/>
      <c r="E75" s="26"/>
      <c r="F75" s="26"/>
      <c r="G75" s="26"/>
      <c r="H75" s="26"/>
    </row>
    <row r="76" spans="1:10" ht="15" x14ac:dyDescent="0.2">
      <c r="A76" s="34"/>
      <c r="B76" s="34"/>
      <c r="C76" s="34"/>
      <c r="D76" s="34"/>
    </row>
    <row r="79" spans="1:10" x14ac:dyDescent="0.2">
      <c r="E79" s="66"/>
      <c r="F79" s="66"/>
      <c r="G79" s="66"/>
      <c r="H79" s="66"/>
    </row>
    <row r="81" spans="1:4" x14ac:dyDescent="0.2">
      <c r="A81" s="66"/>
      <c r="B81" s="66"/>
      <c r="C81" s="66"/>
      <c r="D81" s="66"/>
    </row>
  </sheetData>
  <mergeCells count="28">
    <mergeCell ref="A3:H3"/>
    <mergeCell ref="A4:H4"/>
    <mergeCell ref="A5:H5"/>
    <mergeCell ref="A7:B10"/>
    <mergeCell ref="C7:D7"/>
    <mergeCell ref="E7:F7"/>
    <mergeCell ref="G9:G10"/>
    <mergeCell ref="H9:H10"/>
    <mergeCell ref="C9:C10"/>
    <mergeCell ref="D9:D10"/>
    <mergeCell ref="E9:E10"/>
    <mergeCell ref="F9:F10"/>
    <mergeCell ref="G7:H7"/>
    <mergeCell ref="C8:D8"/>
    <mergeCell ref="E8:F8"/>
    <mergeCell ref="G8:H8"/>
    <mergeCell ref="A13:B13"/>
    <mergeCell ref="A11:B11"/>
    <mergeCell ref="G11:H11"/>
    <mergeCell ref="C11:D11"/>
    <mergeCell ref="E11:F11"/>
    <mergeCell ref="E69:F69"/>
    <mergeCell ref="G69:H69"/>
    <mergeCell ref="A73:H73"/>
    <mergeCell ref="A32:H32"/>
    <mergeCell ref="A50:H50"/>
    <mergeCell ref="A69:B69"/>
    <mergeCell ref="C69:D69"/>
  </mergeCells>
  <printOptions horizontalCentered="1"/>
  <pageMargins left="0" right="0" top="0.15748031496062992" bottom="0" header="0.31496062992125984" footer="0.31496062992125984"/>
  <pageSetup paperSize="9" scale="56" fitToWidth="0" orientation="portrait" r:id="rId1"/>
  <headerFooter scaleWithDoc="0" alignWithMargins="0">
    <oddFooter>&amp;C&amp;"Arial,Regular"&amp;10 17</oddFooter>
  </headerFooter>
  <rowBreaks count="1" manualBreakCount="1">
    <brk id="73" max="7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theme="0"/>
  </sheetPr>
  <dimension ref="A1:J82"/>
  <sheetViews>
    <sheetView tabSelected="1" zoomScaleNormal="100" workbookViewId="0">
      <pane ySplit="11" topLeftCell="A12" activePane="bottomLeft" state="frozen"/>
      <selection activeCell="E13" sqref="E13"/>
      <selection pane="bottomLeft" activeCell="K17" sqref="K17"/>
    </sheetView>
  </sheetViews>
  <sheetFormatPr defaultColWidth="9.140625" defaultRowHeight="14.25" x14ac:dyDescent="0.2"/>
  <cols>
    <col min="1" max="1" width="22.7109375" style="24" customWidth="1"/>
    <col min="2" max="2" width="11.140625" style="25" customWidth="1"/>
    <col min="3" max="3" width="17.42578125" style="24" customWidth="1"/>
    <col min="4" max="4" width="21.85546875" style="24" customWidth="1"/>
    <col min="5" max="5" width="17.42578125" style="24" customWidth="1"/>
    <col min="6" max="6" width="21.85546875" style="24" customWidth="1"/>
    <col min="7" max="7" width="17.42578125" style="24" customWidth="1"/>
    <col min="8" max="8" width="21.85546875" style="24" customWidth="1"/>
    <col min="9" max="9" width="11.42578125" style="26" customWidth="1"/>
    <col min="10" max="16384" width="9.140625" style="26"/>
  </cols>
  <sheetData>
    <row r="1" spans="1:9" ht="14.25" customHeight="1" x14ac:dyDescent="0.2"/>
    <row r="2" spans="1:9" ht="16.5" customHeight="1" x14ac:dyDescent="0.2"/>
    <row r="3" spans="1:9" ht="17.25" customHeight="1" x14ac:dyDescent="0.2">
      <c r="A3" s="148" t="s">
        <v>76</v>
      </c>
      <c r="B3" s="148"/>
      <c r="C3" s="148"/>
      <c r="D3" s="148"/>
      <c r="E3" s="148"/>
      <c r="F3" s="148"/>
      <c r="G3" s="148"/>
      <c r="H3" s="148"/>
    </row>
    <row r="4" spans="1:9" ht="17.25" customHeight="1" x14ac:dyDescent="0.2">
      <c r="A4" s="147" t="s">
        <v>77</v>
      </c>
      <c r="B4" s="147"/>
      <c r="C4" s="147"/>
      <c r="D4" s="147"/>
      <c r="E4" s="147"/>
      <c r="F4" s="147"/>
      <c r="G4" s="147"/>
      <c r="H4" s="147"/>
    </row>
    <row r="5" spans="1:9" ht="17.25" customHeight="1" x14ac:dyDescent="0.2">
      <c r="A5" s="148" t="s">
        <v>34</v>
      </c>
      <c r="B5" s="148"/>
      <c r="C5" s="148"/>
      <c r="D5" s="148"/>
      <c r="E5" s="148"/>
      <c r="F5" s="148"/>
      <c r="G5" s="148"/>
      <c r="H5" s="148"/>
    </row>
    <row r="6" spans="1:9" s="5" customFormat="1" ht="15" customHeight="1" x14ac:dyDescent="0.2">
      <c r="A6" s="14"/>
    </row>
    <row r="7" spans="1:9" s="5" customFormat="1" ht="13.5" thickBot="1" x14ac:dyDescent="0.25">
      <c r="A7" s="14"/>
    </row>
    <row r="8" spans="1:9" s="59" customFormat="1" ht="54.75" customHeight="1" x14ac:dyDescent="0.25">
      <c r="A8" s="166" t="s">
        <v>147</v>
      </c>
      <c r="B8" s="166"/>
      <c r="C8" s="166" t="s">
        <v>9</v>
      </c>
      <c r="D8" s="200"/>
      <c r="E8" s="166" t="s">
        <v>68</v>
      </c>
      <c r="F8" s="166"/>
      <c r="G8" s="166" t="s">
        <v>12</v>
      </c>
      <c r="H8" s="166"/>
    </row>
    <row r="9" spans="1:9" s="31" customFormat="1" ht="17.25" customHeight="1" x14ac:dyDescent="0.2">
      <c r="A9" s="153"/>
      <c r="B9" s="153"/>
      <c r="C9" s="198">
        <v>471</v>
      </c>
      <c r="D9" s="198"/>
      <c r="E9" s="198">
        <v>472</v>
      </c>
      <c r="F9" s="198"/>
      <c r="G9" s="198" t="s">
        <v>38</v>
      </c>
      <c r="H9" s="198"/>
    </row>
    <row r="10" spans="1:9" s="31" customFormat="1" ht="35.25" customHeight="1" x14ac:dyDescent="0.2">
      <c r="A10" s="153"/>
      <c r="B10" s="153"/>
      <c r="C10" s="153" t="s">
        <v>134</v>
      </c>
      <c r="D10" s="153" t="s">
        <v>117</v>
      </c>
      <c r="E10" s="153" t="s">
        <v>134</v>
      </c>
      <c r="F10" s="153" t="s">
        <v>117</v>
      </c>
      <c r="G10" s="153" t="s">
        <v>134</v>
      </c>
      <c r="H10" s="153" t="s">
        <v>117</v>
      </c>
    </row>
    <row r="11" spans="1:9" s="31" customFormat="1" ht="35.25" customHeight="1" thickBot="1" x14ac:dyDescent="0.25">
      <c r="A11" s="154"/>
      <c r="B11" s="154"/>
      <c r="C11" s="154"/>
      <c r="D11" s="154"/>
      <c r="E11" s="154"/>
      <c r="F11" s="154"/>
      <c r="G11" s="154"/>
      <c r="H11" s="154"/>
    </row>
    <row r="12" spans="1:9" s="31" customFormat="1" ht="20.100000000000001" customHeight="1" x14ac:dyDescent="0.2">
      <c r="A12" s="171" t="s">
        <v>127</v>
      </c>
      <c r="B12" s="171"/>
      <c r="C12" s="193">
        <f>'1 '!D27</f>
        <v>12</v>
      </c>
      <c r="D12" s="193"/>
      <c r="E12" s="193">
        <f>'1 '!D28</f>
        <v>3</v>
      </c>
      <c r="F12" s="193"/>
      <c r="G12" s="193">
        <f>'1 '!D29</f>
        <v>1.8</v>
      </c>
      <c r="H12" s="193"/>
    </row>
    <row r="13" spans="1:9" s="31" customFormat="1" ht="9" customHeight="1" x14ac:dyDescent="0.2">
      <c r="A13" s="26"/>
      <c r="B13" s="128"/>
      <c r="C13" s="126"/>
      <c r="D13" s="127"/>
      <c r="E13" s="126"/>
      <c r="F13" s="127"/>
      <c r="G13" s="126"/>
      <c r="H13" s="127"/>
      <c r="I13" s="35"/>
    </row>
    <row r="14" spans="1:9" s="31" customFormat="1" ht="20.100000000000001" customHeight="1" x14ac:dyDescent="0.25">
      <c r="A14" s="188" t="s">
        <v>126</v>
      </c>
      <c r="B14" s="188"/>
      <c r="C14" s="112"/>
      <c r="D14" s="113"/>
      <c r="E14" s="112"/>
      <c r="F14" s="113"/>
      <c r="G14" s="112"/>
      <c r="H14" s="113"/>
      <c r="I14" s="35"/>
    </row>
    <row r="15" spans="1:9" s="31" customFormat="1" ht="9.75" customHeight="1" x14ac:dyDescent="0.2">
      <c r="A15" s="26"/>
      <c r="B15" s="128"/>
      <c r="C15" s="112"/>
      <c r="D15" s="113"/>
      <c r="E15" s="112"/>
      <c r="F15" s="113"/>
      <c r="G15" s="112"/>
      <c r="H15" s="113"/>
      <c r="I15" s="35"/>
    </row>
    <row r="16" spans="1:9" s="31" customFormat="1" ht="18" customHeight="1" x14ac:dyDescent="0.2">
      <c r="A16" s="121">
        <v>2020</v>
      </c>
      <c r="B16" s="122" t="s">
        <v>20</v>
      </c>
      <c r="C16" s="114">
        <v>138.80000000000001</v>
      </c>
      <c r="D16" s="78">
        <v>137.30000000000001</v>
      </c>
      <c r="E16" s="115">
        <v>143.9</v>
      </c>
      <c r="F16" s="115">
        <v>143.19999999999999</v>
      </c>
      <c r="G16" s="114">
        <v>138.9</v>
      </c>
      <c r="H16" s="78">
        <v>138.9</v>
      </c>
      <c r="I16" s="90"/>
    </row>
    <row r="17" spans="1:9" s="31" customFormat="1" ht="18" customHeight="1" x14ac:dyDescent="0.2">
      <c r="A17" s="121"/>
      <c r="B17" s="122" t="s">
        <v>3</v>
      </c>
      <c r="C17" s="114">
        <v>128.80000000000001</v>
      </c>
      <c r="D17" s="78">
        <v>131.4</v>
      </c>
      <c r="E17" s="115">
        <v>143.1</v>
      </c>
      <c r="F17" s="115">
        <v>144</v>
      </c>
      <c r="G17" s="114">
        <v>96.8</v>
      </c>
      <c r="H17" s="78">
        <v>96.8</v>
      </c>
      <c r="I17" s="90"/>
    </row>
    <row r="18" spans="1:9" s="31" customFormat="1" ht="18" customHeight="1" x14ac:dyDescent="0.2">
      <c r="A18" s="121"/>
      <c r="B18" s="122" t="s">
        <v>4</v>
      </c>
      <c r="C18" s="114">
        <v>145.1</v>
      </c>
      <c r="D18" s="78">
        <v>144.19999999999999</v>
      </c>
      <c r="E18" s="115">
        <v>150.4</v>
      </c>
      <c r="F18" s="115">
        <v>150.5</v>
      </c>
      <c r="G18" s="114">
        <v>138.1</v>
      </c>
      <c r="H18" s="78">
        <v>138.1</v>
      </c>
      <c r="I18" s="90"/>
    </row>
    <row r="19" spans="1:9" s="31" customFormat="1" ht="18" customHeight="1" x14ac:dyDescent="0.2">
      <c r="A19" s="121"/>
      <c r="B19" s="122" t="s">
        <v>125</v>
      </c>
      <c r="C19" s="114">
        <v>143</v>
      </c>
      <c r="D19" s="78">
        <v>141.69999999999999</v>
      </c>
      <c r="E19" s="115">
        <v>150.30000000000001</v>
      </c>
      <c r="F19" s="115">
        <v>149.9</v>
      </c>
      <c r="G19" s="114">
        <v>135.9</v>
      </c>
      <c r="H19" s="78">
        <v>135.9</v>
      </c>
      <c r="I19" s="90"/>
    </row>
    <row r="20" spans="1:9" s="31" customFormat="1" ht="18" customHeight="1" x14ac:dyDescent="0.2">
      <c r="A20" s="121"/>
      <c r="B20" s="122"/>
      <c r="C20" s="114"/>
      <c r="D20" s="78"/>
      <c r="E20" s="115"/>
      <c r="F20" s="115"/>
      <c r="G20" s="114"/>
      <c r="H20" s="78"/>
      <c r="I20" s="90"/>
    </row>
    <row r="21" spans="1:9" s="31" customFormat="1" ht="18" customHeight="1" x14ac:dyDescent="0.2">
      <c r="A21" s="121">
        <v>2021</v>
      </c>
      <c r="B21" s="122" t="s">
        <v>120</v>
      </c>
      <c r="C21" s="114">
        <v>143.30000000000001</v>
      </c>
      <c r="D21" s="78">
        <v>142.1</v>
      </c>
      <c r="E21" s="115">
        <v>151.4</v>
      </c>
      <c r="F21" s="115">
        <v>150.80000000000001</v>
      </c>
      <c r="G21" s="114">
        <v>128.4</v>
      </c>
      <c r="H21" s="78">
        <v>128.4</v>
      </c>
      <c r="I21" s="90"/>
    </row>
    <row r="22" spans="1:9" s="31" customFormat="1" ht="18" customHeight="1" x14ac:dyDescent="0.2">
      <c r="A22" s="121"/>
      <c r="B22" s="122" t="s">
        <v>41</v>
      </c>
      <c r="C22" s="114">
        <v>134.9</v>
      </c>
      <c r="D22" s="78">
        <v>139.19999999999999</v>
      </c>
      <c r="E22" s="115">
        <v>149.6</v>
      </c>
      <c r="F22" s="115">
        <v>150.9</v>
      </c>
      <c r="G22" s="114">
        <v>110.1</v>
      </c>
      <c r="H22" s="78">
        <v>110.1</v>
      </c>
      <c r="I22" s="90"/>
    </row>
    <row r="23" spans="1:9" s="31" customFormat="1" ht="18" customHeight="1" x14ac:dyDescent="0.2">
      <c r="A23" s="121"/>
      <c r="B23" s="122" t="s">
        <v>121</v>
      </c>
      <c r="C23" s="114">
        <v>136.30000000000001</v>
      </c>
      <c r="D23" s="78">
        <v>135.5</v>
      </c>
      <c r="E23" s="115">
        <v>150.5</v>
      </c>
      <c r="F23" s="115">
        <v>150.6</v>
      </c>
      <c r="G23" s="114">
        <v>121.5</v>
      </c>
      <c r="H23" s="78">
        <v>121.5</v>
      </c>
      <c r="I23" s="90"/>
    </row>
    <row r="24" spans="1:9" s="31" customFormat="1" ht="18" customHeight="1" x14ac:dyDescent="0.2">
      <c r="A24" s="121"/>
      <c r="B24" s="122" t="s">
        <v>82</v>
      </c>
      <c r="C24" s="114">
        <v>152.19999999999999</v>
      </c>
      <c r="D24" s="78">
        <v>150.30000000000001</v>
      </c>
      <c r="E24" s="115">
        <v>160.1</v>
      </c>
      <c r="F24" s="115">
        <v>159.69999999999999</v>
      </c>
      <c r="G24" s="114">
        <v>142.1</v>
      </c>
      <c r="H24" s="78">
        <v>142.1</v>
      </c>
      <c r="I24" s="90"/>
    </row>
    <row r="25" spans="1:9" s="31" customFormat="1" ht="18" customHeight="1" x14ac:dyDescent="0.2">
      <c r="A25" s="121"/>
      <c r="B25" s="122"/>
      <c r="C25" s="114"/>
      <c r="D25" s="78"/>
      <c r="E25" s="115"/>
      <c r="F25" s="115"/>
      <c r="G25" s="114"/>
      <c r="H25" s="78"/>
      <c r="I25" s="90"/>
    </row>
    <row r="26" spans="1:9" s="31" customFormat="1" ht="18" customHeight="1" x14ac:dyDescent="0.2">
      <c r="A26" s="121">
        <v>2022</v>
      </c>
      <c r="B26" s="122" t="s">
        <v>120</v>
      </c>
      <c r="C26" s="114">
        <v>159.19999999999999</v>
      </c>
      <c r="D26" s="78">
        <v>158.1</v>
      </c>
      <c r="E26" s="115">
        <v>161.30000000000001</v>
      </c>
      <c r="F26" s="115">
        <v>160.80000000000001</v>
      </c>
      <c r="G26" s="114">
        <v>142</v>
      </c>
      <c r="H26" s="78">
        <v>142</v>
      </c>
      <c r="I26" s="90"/>
    </row>
    <row r="27" spans="1:9" s="31" customFormat="1" ht="18" customHeight="1" x14ac:dyDescent="0.2">
      <c r="A27" s="121"/>
      <c r="B27" s="122" t="s">
        <v>122</v>
      </c>
      <c r="C27" s="114">
        <v>175.2</v>
      </c>
      <c r="D27" s="78">
        <v>180.9</v>
      </c>
      <c r="E27" s="115">
        <v>172.3</v>
      </c>
      <c r="F27" s="115">
        <v>173.7</v>
      </c>
      <c r="G27" s="114">
        <v>176.5</v>
      </c>
      <c r="H27" s="78">
        <v>176.5</v>
      </c>
      <c r="I27" s="90"/>
    </row>
    <row r="28" spans="1:9" s="31" customFormat="1" ht="18" customHeight="1" x14ac:dyDescent="0.2">
      <c r="A28" s="121"/>
      <c r="B28" s="122" t="s">
        <v>121</v>
      </c>
      <c r="C28" s="114">
        <v>180.3</v>
      </c>
      <c r="D28" s="78">
        <v>179.1</v>
      </c>
      <c r="E28" s="115">
        <v>173.2</v>
      </c>
      <c r="F28" s="115">
        <v>173.1</v>
      </c>
      <c r="G28" s="114">
        <v>184.4</v>
      </c>
      <c r="H28" s="78">
        <v>184.4</v>
      </c>
      <c r="I28" s="90"/>
    </row>
    <row r="29" spans="1:9" s="31" customFormat="1" ht="18" customHeight="1" x14ac:dyDescent="0.2">
      <c r="A29" s="121"/>
      <c r="B29" s="122" t="s">
        <v>123</v>
      </c>
      <c r="C29" s="114">
        <v>185.7</v>
      </c>
      <c r="D29" s="78">
        <v>183.8</v>
      </c>
      <c r="E29" s="115">
        <v>176.9</v>
      </c>
      <c r="F29" s="115">
        <v>176.5</v>
      </c>
      <c r="G29" s="114">
        <v>192.9</v>
      </c>
      <c r="H29" s="78">
        <v>192.9</v>
      </c>
      <c r="I29" s="90"/>
    </row>
    <row r="30" spans="1:9" s="31" customFormat="1" ht="18" customHeight="1" x14ac:dyDescent="0.2">
      <c r="A30" s="121"/>
      <c r="B30" s="122"/>
      <c r="C30" s="114"/>
      <c r="D30" s="78"/>
      <c r="E30" s="115"/>
      <c r="F30" s="115"/>
      <c r="G30" s="114"/>
      <c r="H30" s="78"/>
      <c r="I30" s="90"/>
    </row>
    <row r="31" spans="1:9" s="31" customFormat="1" ht="18" customHeight="1" x14ac:dyDescent="0.2">
      <c r="A31" s="121">
        <v>2023</v>
      </c>
      <c r="B31" s="122" t="s">
        <v>124</v>
      </c>
      <c r="C31" s="114">
        <v>189.2</v>
      </c>
      <c r="D31" s="78">
        <v>187.8</v>
      </c>
      <c r="E31" s="115">
        <v>182.5</v>
      </c>
      <c r="F31" s="115">
        <v>181.9</v>
      </c>
      <c r="G31" s="114">
        <v>198.8</v>
      </c>
      <c r="H31" s="78">
        <v>198.8</v>
      </c>
      <c r="I31" s="90"/>
    </row>
    <row r="32" spans="1:9" s="31" customFormat="1" ht="18" customHeight="1" thickBot="1" x14ac:dyDescent="0.25">
      <c r="A32" s="121"/>
      <c r="B32" s="122"/>
      <c r="C32" s="116"/>
      <c r="D32" s="79"/>
      <c r="E32" s="115"/>
      <c r="F32" s="115"/>
      <c r="G32" s="116"/>
      <c r="H32" s="79"/>
      <c r="I32" s="42"/>
    </row>
    <row r="33" spans="1:9" s="31" customFormat="1" ht="31.5" customHeight="1" x14ac:dyDescent="0.2">
      <c r="A33" s="168" t="s">
        <v>47</v>
      </c>
      <c r="B33" s="168"/>
      <c r="C33" s="168"/>
      <c r="D33" s="168"/>
      <c r="E33" s="168"/>
      <c r="F33" s="168"/>
      <c r="G33" s="168"/>
      <c r="H33" s="168"/>
      <c r="I33" s="42"/>
    </row>
    <row r="34" spans="1:9" s="31" customFormat="1" ht="18" customHeight="1" x14ac:dyDescent="0.2">
      <c r="A34" s="121">
        <v>2020</v>
      </c>
      <c r="B34" s="122" t="s">
        <v>20</v>
      </c>
      <c r="C34" s="114">
        <v>4.9000000000000004</v>
      </c>
      <c r="D34" s="115"/>
      <c r="E34" s="114">
        <v>5.5</v>
      </c>
      <c r="F34" s="78"/>
      <c r="G34" s="115">
        <v>-1.1000000000000001</v>
      </c>
      <c r="H34" s="55"/>
      <c r="I34" s="42"/>
    </row>
    <row r="35" spans="1:9" s="31" customFormat="1" ht="18" customHeight="1" x14ac:dyDescent="0.2">
      <c r="A35" s="121"/>
      <c r="B35" s="122" t="s">
        <v>3</v>
      </c>
      <c r="C35" s="114">
        <v>-4.7</v>
      </c>
      <c r="D35" s="115"/>
      <c r="E35" s="114">
        <v>2</v>
      </c>
      <c r="F35" s="78"/>
      <c r="G35" s="115">
        <v>-31.8</v>
      </c>
      <c r="H35" s="55"/>
      <c r="I35" s="42"/>
    </row>
    <row r="36" spans="1:9" s="31" customFormat="1" ht="18" customHeight="1" x14ac:dyDescent="0.2">
      <c r="A36" s="121"/>
      <c r="B36" s="122" t="s">
        <v>4</v>
      </c>
      <c r="C36" s="114">
        <v>4.7</v>
      </c>
      <c r="D36" s="115"/>
      <c r="E36" s="114">
        <v>6.3</v>
      </c>
      <c r="F36" s="78"/>
      <c r="G36" s="115">
        <v>-5.8</v>
      </c>
      <c r="H36" s="55"/>
      <c r="I36" s="42"/>
    </row>
    <row r="37" spans="1:9" s="31" customFormat="1" ht="18" customHeight="1" x14ac:dyDescent="0.2">
      <c r="A37" s="121"/>
      <c r="B37" s="122" t="s">
        <v>125</v>
      </c>
      <c r="C37" s="114">
        <v>1.9</v>
      </c>
      <c r="D37" s="115"/>
      <c r="E37" s="114">
        <v>5.2</v>
      </c>
      <c r="F37" s="78"/>
      <c r="G37" s="115">
        <v>-9.9</v>
      </c>
      <c r="H37" s="55"/>
      <c r="I37" s="42"/>
    </row>
    <row r="38" spans="1:9" s="31" customFormat="1" ht="18" customHeight="1" x14ac:dyDescent="0.2">
      <c r="A38" s="121"/>
      <c r="B38" s="122"/>
      <c r="C38" s="114"/>
      <c r="D38" s="115"/>
      <c r="E38" s="114"/>
      <c r="F38" s="78"/>
      <c r="G38" s="115"/>
      <c r="H38" s="55"/>
      <c r="I38" s="42"/>
    </row>
    <row r="39" spans="1:9" s="31" customFormat="1" ht="18" customHeight="1" x14ac:dyDescent="0.2">
      <c r="A39" s="121">
        <v>2021</v>
      </c>
      <c r="B39" s="122" t="s">
        <v>120</v>
      </c>
      <c r="C39" s="114">
        <v>3.2</v>
      </c>
      <c r="D39" s="115"/>
      <c r="E39" s="114">
        <v>5.2</v>
      </c>
      <c r="F39" s="78"/>
      <c r="G39" s="115">
        <v>-7.6</v>
      </c>
      <c r="H39" s="55"/>
      <c r="I39" s="42"/>
    </row>
    <row r="40" spans="1:9" s="31" customFormat="1" ht="18" customHeight="1" x14ac:dyDescent="0.2">
      <c r="A40" s="121"/>
      <c r="B40" s="122" t="s">
        <v>41</v>
      </c>
      <c r="C40" s="114">
        <v>4.8</v>
      </c>
      <c r="D40" s="115"/>
      <c r="E40" s="114">
        <v>4.5999999999999996</v>
      </c>
      <c r="F40" s="78"/>
      <c r="G40" s="115">
        <v>13.7</v>
      </c>
      <c r="H40" s="55"/>
      <c r="I40" s="42"/>
    </row>
    <row r="41" spans="1:9" s="31" customFormat="1" ht="18" customHeight="1" x14ac:dyDescent="0.2">
      <c r="A41" s="121"/>
      <c r="B41" s="122" t="s">
        <v>121</v>
      </c>
      <c r="C41" s="114">
        <v>-6.1</v>
      </c>
      <c r="D41" s="115"/>
      <c r="E41" s="114">
        <v>0.1</v>
      </c>
      <c r="F41" s="78"/>
      <c r="G41" s="115">
        <v>-12</v>
      </c>
      <c r="H41" s="55"/>
      <c r="I41" s="42"/>
    </row>
    <row r="42" spans="1:9" s="31" customFormat="1" ht="18" customHeight="1" x14ac:dyDescent="0.2">
      <c r="A42" s="121"/>
      <c r="B42" s="122" t="s">
        <v>82</v>
      </c>
      <c r="C42" s="114">
        <v>6.4</v>
      </c>
      <c r="D42" s="115"/>
      <c r="E42" s="114">
        <v>6.5</v>
      </c>
      <c r="F42" s="78"/>
      <c r="G42" s="115">
        <v>4.5999999999999996</v>
      </c>
      <c r="H42" s="55"/>
      <c r="I42" s="42"/>
    </row>
    <row r="43" spans="1:9" s="31" customFormat="1" ht="18" customHeight="1" x14ac:dyDescent="0.2">
      <c r="A43" s="121"/>
      <c r="B43" s="122"/>
      <c r="C43" s="114"/>
      <c r="D43" s="115"/>
      <c r="E43" s="114"/>
      <c r="F43" s="78"/>
      <c r="G43" s="115"/>
      <c r="H43" s="55"/>
      <c r="I43" s="42"/>
    </row>
    <row r="44" spans="1:9" s="31" customFormat="1" ht="18" customHeight="1" x14ac:dyDescent="0.2">
      <c r="A44" s="121">
        <v>2022</v>
      </c>
      <c r="B44" s="122" t="s">
        <v>120</v>
      </c>
      <c r="C44" s="114">
        <v>11.1</v>
      </c>
      <c r="D44" s="115"/>
      <c r="E44" s="114">
        <v>6.6</v>
      </c>
      <c r="F44" s="78"/>
      <c r="G44" s="115">
        <v>10.6</v>
      </c>
      <c r="H44" s="78"/>
      <c r="I44" s="42"/>
    </row>
    <row r="45" spans="1:9" s="31" customFormat="1" ht="18" customHeight="1" x14ac:dyDescent="0.2">
      <c r="A45" s="121"/>
      <c r="B45" s="122" t="s">
        <v>122</v>
      </c>
      <c r="C45" s="114">
        <v>29.8</v>
      </c>
      <c r="D45" s="115"/>
      <c r="E45" s="114">
        <v>15.2</v>
      </c>
      <c r="F45" s="78"/>
      <c r="G45" s="115">
        <v>60.4</v>
      </c>
      <c r="H45" s="78"/>
      <c r="I45" s="42"/>
    </row>
    <row r="46" spans="1:9" s="31" customFormat="1" ht="18" customHeight="1" x14ac:dyDescent="0.2">
      <c r="A46" s="121"/>
      <c r="B46" s="122" t="s">
        <v>121</v>
      </c>
      <c r="C46" s="114">
        <v>32.299999999999997</v>
      </c>
      <c r="D46" s="115"/>
      <c r="E46" s="114">
        <v>15</v>
      </c>
      <c r="F46" s="78"/>
      <c r="G46" s="115">
        <v>51.7</v>
      </c>
      <c r="H46" s="78"/>
      <c r="I46" s="42"/>
    </row>
    <row r="47" spans="1:9" s="31" customFormat="1" ht="18" customHeight="1" x14ac:dyDescent="0.2">
      <c r="A47" s="121"/>
      <c r="B47" s="122" t="s">
        <v>123</v>
      </c>
      <c r="C47" s="114">
        <v>22</v>
      </c>
      <c r="D47" s="115"/>
      <c r="E47" s="114">
        <v>10.5</v>
      </c>
      <c r="F47" s="78"/>
      <c r="G47" s="115">
        <v>35.700000000000003</v>
      </c>
      <c r="H47" s="78"/>
      <c r="I47" s="42"/>
    </row>
    <row r="48" spans="1:9" s="31" customFormat="1" ht="18" customHeight="1" x14ac:dyDescent="0.2">
      <c r="A48" s="121"/>
      <c r="B48" s="122"/>
      <c r="C48" s="114"/>
      <c r="D48" s="115"/>
      <c r="E48" s="114"/>
      <c r="F48" s="78"/>
      <c r="G48" s="115"/>
      <c r="H48" s="55"/>
      <c r="I48" s="42"/>
    </row>
    <row r="49" spans="1:9" s="31" customFormat="1" ht="18" customHeight="1" x14ac:dyDescent="0.2">
      <c r="A49" s="121">
        <v>2023</v>
      </c>
      <c r="B49" s="122" t="s">
        <v>124</v>
      </c>
      <c r="C49" s="114">
        <v>18.8</v>
      </c>
      <c r="D49" s="115"/>
      <c r="E49" s="114">
        <v>13.1</v>
      </c>
      <c r="F49" s="78"/>
      <c r="G49" s="115">
        <v>40</v>
      </c>
      <c r="H49" s="78"/>
      <c r="I49" s="42"/>
    </row>
    <row r="50" spans="1:9" s="31" customFormat="1" ht="18" customHeight="1" thickBot="1" x14ac:dyDescent="0.25">
      <c r="A50" s="121"/>
      <c r="B50" s="122"/>
      <c r="C50" s="114"/>
      <c r="D50" s="115"/>
      <c r="E50" s="116"/>
      <c r="F50" s="79"/>
      <c r="G50" s="132"/>
      <c r="H50" s="133"/>
      <c r="I50" s="42"/>
    </row>
    <row r="51" spans="1:9" s="31" customFormat="1" ht="31.5" customHeight="1" x14ac:dyDescent="0.2">
      <c r="A51" s="168" t="s">
        <v>49</v>
      </c>
      <c r="B51" s="168"/>
      <c r="C51" s="168"/>
      <c r="D51" s="168"/>
      <c r="E51" s="168"/>
      <c r="F51" s="168"/>
      <c r="G51" s="168"/>
      <c r="H51" s="168"/>
      <c r="I51" s="42"/>
    </row>
    <row r="52" spans="1:9" s="31" customFormat="1" ht="18" customHeight="1" x14ac:dyDescent="0.2">
      <c r="A52" s="121">
        <v>2020</v>
      </c>
      <c r="B52" s="122" t="s">
        <v>20</v>
      </c>
      <c r="C52" s="114">
        <v>-1.1000000000000001</v>
      </c>
      <c r="D52" s="115">
        <v>-1.4</v>
      </c>
      <c r="E52" s="114">
        <v>0.7</v>
      </c>
      <c r="F52" s="78">
        <v>0.5</v>
      </c>
      <c r="G52" s="115">
        <v>-7.9</v>
      </c>
      <c r="H52" s="55">
        <v>-7.9</v>
      </c>
      <c r="I52" s="90"/>
    </row>
    <row r="53" spans="1:9" s="31" customFormat="1" ht="18" customHeight="1" x14ac:dyDescent="0.2">
      <c r="A53" s="121"/>
      <c r="B53" s="122" t="s">
        <v>3</v>
      </c>
      <c r="C53" s="114">
        <v>-7.2</v>
      </c>
      <c r="D53" s="115">
        <v>-4.3</v>
      </c>
      <c r="E53" s="114">
        <v>-0.6</v>
      </c>
      <c r="F53" s="78">
        <v>0.5</v>
      </c>
      <c r="G53" s="115">
        <v>-30.3</v>
      </c>
      <c r="H53" s="55">
        <v>-30.3</v>
      </c>
      <c r="I53" s="90"/>
    </row>
    <row r="54" spans="1:9" s="31" customFormat="1" ht="18" customHeight="1" x14ac:dyDescent="0.2">
      <c r="A54" s="121"/>
      <c r="B54" s="122" t="s">
        <v>4</v>
      </c>
      <c r="C54" s="114">
        <v>12.7</v>
      </c>
      <c r="D54" s="115">
        <v>9.6999999999999993</v>
      </c>
      <c r="E54" s="114">
        <v>5.0999999999999996</v>
      </c>
      <c r="F54" s="78">
        <v>4.5</v>
      </c>
      <c r="G54" s="115">
        <v>42.7</v>
      </c>
      <c r="H54" s="55">
        <v>42.7</v>
      </c>
      <c r="I54" s="90"/>
    </row>
    <row r="55" spans="1:9" s="31" customFormat="1" ht="18" customHeight="1" x14ac:dyDescent="0.2">
      <c r="A55" s="121"/>
      <c r="B55" s="122" t="s">
        <v>125</v>
      </c>
      <c r="C55" s="114">
        <v>-1.4</v>
      </c>
      <c r="D55" s="115">
        <v>-1.7</v>
      </c>
      <c r="E55" s="117">
        <v>-0.02</v>
      </c>
      <c r="F55" s="78">
        <v>-0.4</v>
      </c>
      <c r="G55" s="115">
        <v>-1.6</v>
      </c>
      <c r="H55" s="55">
        <v>-1.6</v>
      </c>
      <c r="I55" s="90"/>
    </row>
    <row r="56" spans="1:9" s="31" customFormat="1" ht="18" customHeight="1" x14ac:dyDescent="0.2">
      <c r="A56" s="121"/>
      <c r="B56" s="122"/>
      <c r="C56" s="114"/>
      <c r="D56" s="115"/>
      <c r="E56" s="114"/>
      <c r="F56" s="78"/>
      <c r="G56" s="115"/>
      <c r="H56" s="55"/>
      <c r="I56" s="90"/>
    </row>
    <row r="57" spans="1:9" s="31" customFormat="1" ht="18" customHeight="1" x14ac:dyDescent="0.2">
      <c r="A57" s="121">
        <v>2021</v>
      </c>
      <c r="B57" s="122" t="s">
        <v>120</v>
      </c>
      <c r="C57" s="114">
        <v>0.2</v>
      </c>
      <c r="D57" s="115">
        <v>0.3</v>
      </c>
      <c r="E57" s="114">
        <v>0.7</v>
      </c>
      <c r="F57" s="78">
        <v>0.6</v>
      </c>
      <c r="G57" s="115">
        <v>-5.5</v>
      </c>
      <c r="H57" s="55">
        <v>-5.5</v>
      </c>
      <c r="I57" s="90"/>
    </row>
    <row r="58" spans="1:9" s="31" customFormat="1" ht="18" customHeight="1" x14ac:dyDescent="0.2">
      <c r="A58" s="121"/>
      <c r="B58" s="122" t="s">
        <v>41</v>
      </c>
      <c r="C58" s="114">
        <v>-5.9</v>
      </c>
      <c r="D58" s="115">
        <v>-2</v>
      </c>
      <c r="E58" s="114">
        <v>-1.2</v>
      </c>
      <c r="F58" s="134">
        <v>0.04</v>
      </c>
      <c r="G58" s="115">
        <v>-14.3</v>
      </c>
      <c r="H58" s="55">
        <v>-14.3</v>
      </c>
      <c r="I58" s="90"/>
    </row>
    <row r="59" spans="1:9" s="31" customFormat="1" ht="18" customHeight="1" x14ac:dyDescent="0.2">
      <c r="A59" s="121"/>
      <c r="B59" s="122" t="s">
        <v>121</v>
      </c>
      <c r="C59" s="114">
        <v>1</v>
      </c>
      <c r="D59" s="115">
        <v>-2.7</v>
      </c>
      <c r="E59" s="114">
        <v>0.6</v>
      </c>
      <c r="F59" s="78">
        <v>-0.2</v>
      </c>
      <c r="G59" s="115">
        <v>10.4</v>
      </c>
      <c r="H59" s="55">
        <v>10.4</v>
      </c>
      <c r="I59" s="90"/>
    </row>
    <row r="60" spans="1:9" s="31" customFormat="1" ht="18" customHeight="1" x14ac:dyDescent="0.2">
      <c r="A60" s="121"/>
      <c r="B60" s="122" t="s">
        <v>82</v>
      </c>
      <c r="C60" s="114">
        <v>11.7</v>
      </c>
      <c r="D60" s="115">
        <v>10.9</v>
      </c>
      <c r="E60" s="114">
        <v>6.4</v>
      </c>
      <c r="F60" s="78">
        <v>6.1</v>
      </c>
      <c r="G60" s="115">
        <v>16.899999999999999</v>
      </c>
      <c r="H60" s="55">
        <v>16.899999999999999</v>
      </c>
      <c r="I60" s="90"/>
    </row>
    <row r="61" spans="1:9" s="31" customFormat="1" ht="18" customHeight="1" x14ac:dyDescent="0.2">
      <c r="A61" s="121"/>
      <c r="B61" s="122"/>
      <c r="C61" s="114"/>
      <c r="D61" s="115"/>
      <c r="E61" s="114"/>
      <c r="F61" s="78"/>
      <c r="G61" s="115"/>
      <c r="H61" s="55"/>
      <c r="I61" s="90"/>
    </row>
    <row r="62" spans="1:9" s="31" customFormat="1" ht="18" customHeight="1" x14ac:dyDescent="0.2">
      <c r="A62" s="121">
        <v>2022</v>
      </c>
      <c r="B62" s="122" t="s">
        <v>120</v>
      </c>
      <c r="C62" s="114">
        <v>4.5999999999999996</v>
      </c>
      <c r="D62" s="78">
        <v>5.0999999999999996</v>
      </c>
      <c r="E62" s="115">
        <v>0.8</v>
      </c>
      <c r="F62" s="115">
        <v>0.7</v>
      </c>
      <c r="G62" s="114">
        <v>-0.10100000000000001</v>
      </c>
      <c r="H62" s="78">
        <v>-0.10100000000000001</v>
      </c>
      <c r="I62" s="90"/>
    </row>
    <row r="63" spans="1:9" s="31" customFormat="1" ht="18" customHeight="1" x14ac:dyDescent="0.2">
      <c r="A63" s="121"/>
      <c r="B63" s="122" t="s">
        <v>122</v>
      </c>
      <c r="C63" s="114">
        <v>10</v>
      </c>
      <c r="D63" s="78">
        <v>14.4</v>
      </c>
      <c r="E63" s="115">
        <v>6.8</v>
      </c>
      <c r="F63" s="115">
        <v>8</v>
      </c>
      <c r="G63" s="114">
        <v>24.3</v>
      </c>
      <c r="H63" s="78">
        <v>24.3</v>
      </c>
      <c r="I63" s="90"/>
    </row>
    <row r="64" spans="1:9" s="31" customFormat="1" ht="18" customHeight="1" x14ac:dyDescent="0.2">
      <c r="A64" s="121"/>
      <c r="B64" s="122" t="s">
        <v>121</v>
      </c>
      <c r="C64" s="114">
        <v>2.9</v>
      </c>
      <c r="D64" s="78">
        <v>-1</v>
      </c>
      <c r="E64" s="115">
        <v>0.5</v>
      </c>
      <c r="F64" s="115">
        <v>-0.3</v>
      </c>
      <c r="G64" s="114">
        <v>4.4359999999999999</v>
      </c>
      <c r="H64" s="78">
        <v>4.4359999999999999</v>
      </c>
      <c r="I64" s="90"/>
    </row>
    <row r="65" spans="1:10" s="31" customFormat="1" ht="18" customHeight="1" x14ac:dyDescent="0.2">
      <c r="A65" s="121"/>
      <c r="B65" s="122" t="s">
        <v>123</v>
      </c>
      <c r="C65" s="114">
        <v>3</v>
      </c>
      <c r="D65" s="78">
        <v>2.7</v>
      </c>
      <c r="E65" s="115">
        <v>2.2000000000000002</v>
      </c>
      <c r="F65" s="115">
        <v>1.9</v>
      </c>
      <c r="G65" s="114">
        <v>4.6070000000000002</v>
      </c>
      <c r="H65" s="78">
        <v>4.6070000000000002</v>
      </c>
      <c r="I65" s="90"/>
    </row>
    <row r="66" spans="1:10" s="31" customFormat="1" ht="18" customHeight="1" x14ac:dyDescent="0.2">
      <c r="A66" s="121"/>
      <c r="B66" s="122"/>
      <c r="C66" s="114"/>
      <c r="D66" s="115"/>
      <c r="E66" s="114"/>
      <c r="F66" s="78"/>
      <c r="G66" s="115"/>
      <c r="H66" s="55"/>
      <c r="I66" s="90"/>
    </row>
    <row r="67" spans="1:10" s="31" customFormat="1" ht="18" customHeight="1" x14ac:dyDescent="0.2">
      <c r="A67" s="121">
        <v>2023</v>
      </c>
      <c r="B67" s="122" t="s">
        <v>124</v>
      </c>
      <c r="C67" s="114">
        <v>1.9</v>
      </c>
      <c r="D67" s="78">
        <v>2.1</v>
      </c>
      <c r="E67" s="115">
        <v>3.2</v>
      </c>
      <c r="F67" s="115">
        <v>3.1</v>
      </c>
      <c r="G67" s="114">
        <v>3.1</v>
      </c>
      <c r="H67" s="78">
        <v>3.1</v>
      </c>
      <c r="I67" s="90"/>
    </row>
    <row r="68" spans="1:10" s="31" customFormat="1" ht="18" customHeight="1" x14ac:dyDescent="0.2">
      <c r="A68" s="121"/>
      <c r="B68" s="122"/>
      <c r="C68" s="114"/>
      <c r="D68" s="115"/>
      <c r="E68" s="114"/>
      <c r="F68" s="78"/>
      <c r="G68" s="115"/>
      <c r="H68" s="55"/>
      <c r="I68" s="42"/>
    </row>
    <row r="69" spans="1:10" s="31" customFormat="1" ht="1.5" customHeight="1" thickBot="1" x14ac:dyDescent="0.25">
      <c r="B69" s="36"/>
      <c r="C69" s="67"/>
      <c r="D69" s="68"/>
      <c r="E69" s="67"/>
      <c r="F69" s="68"/>
      <c r="G69" s="67"/>
      <c r="H69" s="68"/>
    </row>
    <row r="70" spans="1:10" s="59" customFormat="1" ht="51.75" customHeight="1" thickBot="1" x14ac:dyDescent="0.3">
      <c r="A70" s="162" t="s">
        <v>30</v>
      </c>
      <c r="B70" s="191"/>
      <c r="C70" s="192" t="s">
        <v>140</v>
      </c>
      <c r="D70" s="199"/>
      <c r="E70" s="192" t="s">
        <v>142</v>
      </c>
      <c r="F70" s="192"/>
      <c r="G70" s="192" t="s">
        <v>141</v>
      </c>
      <c r="H70" s="199"/>
    </row>
    <row r="71" spans="1:10" ht="17.25" hidden="1" customHeight="1" x14ac:dyDescent="0.2">
      <c r="A71" s="18" t="s">
        <v>48</v>
      </c>
      <c r="B71" s="15"/>
      <c r="C71" s="13"/>
      <c r="D71" s="13"/>
      <c r="E71" s="13"/>
      <c r="F71" s="13"/>
      <c r="G71" s="13"/>
      <c r="H71" s="13"/>
    </row>
    <row r="72" spans="1:10" ht="21.95" customHeight="1" x14ac:dyDescent="0.2">
      <c r="A72" s="13" t="s">
        <v>44</v>
      </c>
      <c r="B72" s="15"/>
      <c r="C72" s="13"/>
      <c r="D72" s="13"/>
      <c r="E72" s="13"/>
      <c r="F72" s="13"/>
      <c r="G72" s="13"/>
      <c r="H72" s="13"/>
    </row>
    <row r="73" spans="1:10" ht="16.5" x14ac:dyDescent="0.2">
      <c r="A73" s="24" t="s">
        <v>143</v>
      </c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36" customHeight="1" x14ac:dyDescent="0.2">
      <c r="A74" s="174" t="s">
        <v>51</v>
      </c>
      <c r="B74" s="174"/>
      <c r="C74" s="174"/>
      <c r="D74" s="174"/>
      <c r="E74" s="174"/>
      <c r="F74" s="174"/>
      <c r="G74" s="174"/>
      <c r="H74" s="174"/>
    </row>
    <row r="75" spans="1:10" ht="15" x14ac:dyDescent="0.2">
      <c r="A75" s="64"/>
      <c r="B75" s="6"/>
      <c r="C75" s="5"/>
      <c r="D75" s="5"/>
      <c r="E75" s="5"/>
      <c r="F75" s="5"/>
      <c r="G75" s="5"/>
      <c r="H75" s="5"/>
      <c r="I75" s="34"/>
    </row>
    <row r="76" spans="1:10" x14ac:dyDescent="0.2">
      <c r="A76" s="26"/>
      <c r="B76" s="26"/>
      <c r="C76" s="26"/>
      <c r="D76" s="26"/>
      <c r="E76" s="26"/>
      <c r="F76" s="26"/>
      <c r="G76" s="26"/>
      <c r="H76" s="26"/>
    </row>
    <row r="77" spans="1:10" ht="15" x14ac:dyDescent="0.2">
      <c r="A77" s="34"/>
      <c r="B77" s="34"/>
      <c r="C77" s="34"/>
      <c r="D77" s="34"/>
      <c r="E77" s="34"/>
      <c r="F77" s="34"/>
      <c r="G77" s="34"/>
      <c r="H77" s="34"/>
    </row>
    <row r="82" spans="1:8" x14ac:dyDescent="0.2">
      <c r="A82" s="66"/>
      <c r="B82" s="66"/>
      <c r="C82" s="66"/>
      <c r="D82" s="66"/>
      <c r="E82" s="66"/>
      <c r="F82" s="66"/>
      <c r="G82" s="66"/>
      <c r="H82" s="66"/>
    </row>
  </sheetData>
  <sheetProtection algorithmName="SHA-512" hashValue="wOy/SesRHk8dpLr3e50BLPpX86DdgknM+wA6gG0HvadOqfT9GjxU+Wpdec/8uctK3P9lxZkbrHzjjGkdvR8DUA==" saltValue="virpK2bS6u1VR702XEQjJA==" spinCount="100000" sheet="1" objects="1" scenarios="1"/>
  <mergeCells count="28">
    <mergeCell ref="A12:B12"/>
    <mergeCell ref="C12:D12"/>
    <mergeCell ref="E12:F12"/>
    <mergeCell ref="G12:H12"/>
    <mergeCell ref="E9:F9"/>
    <mergeCell ref="H10:H11"/>
    <mergeCell ref="A3:H3"/>
    <mergeCell ref="A4:H4"/>
    <mergeCell ref="A5:H5"/>
    <mergeCell ref="A8:B11"/>
    <mergeCell ref="C8:D8"/>
    <mergeCell ref="E8:F8"/>
    <mergeCell ref="G8:H8"/>
    <mergeCell ref="C9:D9"/>
    <mergeCell ref="G9:H9"/>
    <mergeCell ref="C10:C11"/>
    <mergeCell ref="D10:D11"/>
    <mergeCell ref="E10:E11"/>
    <mergeCell ref="F10:F11"/>
    <mergeCell ref="G10:G11"/>
    <mergeCell ref="A74:H74"/>
    <mergeCell ref="A14:B14"/>
    <mergeCell ref="A70:B70"/>
    <mergeCell ref="C70:D70"/>
    <mergeCell ref="E70:F70"/>
    <mergeCell ref="G70:H70"/>
    <mergeCell ref="A33:H33"/>
    <mergeCell ref="A51:H51"/>
  </mergeCells>
  <printOptions horizontalCentered="1"/>
  <pageMargins left="0" right="0" top="0.15748031496062992" bottom="0" header="0.31496062992125984" footer="0.31496062992125984"/>
  <pageSetup paperSize="9" scale="56" orientation="portrait" r:id="rId1"/>
  <headerFooter scaleWithDoc="0" alignWithMargins="0">
    <oddFooter>&amp;C&amp;"Arial,Regular"&amp;10 18</oddFooter>
  </headerFooter>
  <customProperties>
    <customPr name="DVSECTION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J82"/>
  <sheetViews>
    <sheetView zoomScaleNormal="100" zoomScaleSheetLayoutView="70" workbookViewId="0">
      <pane ySplit="11" topLeftCell="A73" activePane="bottomLeft" state="frozen"/>
      <selection activeCell="E13" sqref="E13"/>
      <selection pane="bottomLeft" activeCell="G82" sqref="G82"/>
    </sheetView>
  </sheetViews>
  <sheetFormatPr defaultColWidth="9.140625" defaultRowHeight="14.25" x14ac:dyDescent="0.2"/>
  <cols>
    <col min="1" max="1" width="22.7109375" style="24" customWidth="1"/>
    <col min="2" max="2" width="11.140625" style="25" customWidth="1"/>
    <col min="3" max="3" width="17.42578125" style="24" customWidth="1"/>
    <col min="4" max="4" width="21.85546875" style="24" customWidth="1"/>
    <col min="5" max="5" width="17.42578125" style="24" customWidth="1"/>
    <col min="6" max="8" width="21.85546875" style="24" customWidth="1"/>
    <col min="9" max="9" width="11.42578125" style="26" customWidth="1"/>
    <col min="10" max="10" width="11" style="26" bestFit="1" customWidth="1"/>
    <col min="11" max="16384" width="9.140625" style="26"/>
  </cols>
  <sheetData>
    <row r="1" spans="1:10" ht="14.25" customHeight="1" x14ac:dyDescent="0.2"/>
    <row r="2" spans="1:10" ht="16.5" customHeight="1" x14ac:dyDescent="0.2"/>
    <row r="3" spans="1:10" ht="17.25" customHeight="1" x14ac:dyDescent="0.2">
      <c r="A3" s="148" t="s">
        <v>81</v>
      </c>
      <c r="B3" s="148"/>
      <c r="C3" s="148"/>
      <c r="D3" s="148"/>
      <c r="E3" s="148"/>
      <c r="F3" s="148"/>
      <c r="G3" s="148"/>
      <c r="H3" s="148"/>
    </row>
    <row r="4" spans="1:10" ht="17.25" customHeight="1" x14ac:dyDescent="0.2">
      <c r="A4" s="147" t="s">
        <v>79</v>
      </c>
      <c r="B4" s="147"/>
      <c r="C4" s="147"/>
      <c r="D4" s="147"/>
      <c r="E4" s="147"/>
      <c r="F4" s="147"/>
      <c r="G4" s="147"/>
      <c r="H4" s="147"/>
    </row>
    <row r="5" spans="1:10" ht="17.25" customHeight="1" x14ac:dyDescent="0.2">
      <c r="A5" s="148" t="s">
        <v>34</v>
      </c>
      <c r="B5" s="148"/>
      <c r="C5" s="148"/>
      <c r="D5" s="148"/>
      <c r="E5" s="148"/>
      <c r="F5" s="148"/>
      <c r="G5" s="148"/>
      <c r="H5" s="148"/>
    </row>
    <row r="6" spans="1:10" s="5" customFormat="1" ht="15" customHeight="1" x14ac:dyDescent="0.2">
      <c r="A6" s="14"/>
      <c r="F6" s="29"/>
      <c r="G6" s="29"/>
      <c r="H6" s="29"/>
    </row>
    <row r="7" spans="1:10" s="5" customFormat="1" ht="13.5" thickBot="1" x14ac:dyDescent="0.25">
      <c r="A7" s="14"/>
      <c r="F7" s="30"/>
      <c r="G7" s="30"/>
      <c r="H7" s="30"/>
    </row>
    <row r="8" spans="1:10" s="59" customFormat="1" ht="50.1" customHeight="1" x14ac:dyDescent="0.25">
      <c r="A8" s="166" t="s">
        <v>147</v>
      </c>
      <c r="B8" s="166"/>
      <c r="C8" s="166" t="s">
        <v>58</v>
      </c>
      <c r="D8" s="166"/>
      <c r="E8" s="166" t="s">
        <v>13</v>
      </c>
      <c r="F8" s="166"/>
      <c r="G8" s="166" t="s">
        <v>57</v>
      </c>
      <c r="H8" s="166"/>
    </row>
    <row r="9" spans="1:10" s="31" customFormat="1" ht="17.25" customHeight="1" x14ac:dyDescent="0.2">
      <c r="A9" s="201"/>
      <c r="B9" s="201"/>
      <c r="C9" s="198" t="s">
        <v>39</v>
      </c>
      <c r="D9" s="198"/>
      <c r="E9" s="198">
        <v>475</v>
      </c>
      <c r="F9" s="198"/>
      <c r="G9" s="205">
        <v>476</v>
      </c>
      <c r="H9" s="205"/>
    </row>
    <row r="10" spans="1:10" s="31" customFormat="1" ht="36" customHeight="1" x14ac:dyDescent="0.2">
      <c r="A10" s="201"/>
      <c r="B10" s="201"/>
      <c r="C10" s="153" t="s">
        <v>134</v>
      </c>
      <c r="D10" s="153" t="s">
        <v>117</v>
      </c>
      <c r="E10" s="153" t="s">
        <v>134</v>
      </c>
      <c r="F10" s="153" t="s">
        <v>117</v>
      </c>
      <c r="G10" s="153" t="s">
        <v>135</v>
      </c>
      <c r="H10" s="153" t="s">
        <v>117</v>
      </c>
    </row>
    <row r="11" spans="1:10" s="31" customFormat="1" ht="27.75" customHeight="1" thickBot="1" x14ac:dyDescent="0.25">
      <c r="A11" s="154"/>
      <c r="B11" s="154"/>
      <c r="C11" s="154"/>
      <c r="D11" s="154"/>
      <c r="E11" s="154"/>
      <c r="F11" s="154"/>
      <c r="G11" s="154"/>
      <c r="H11" s="154"/>
    </row>
    <row r="12" spans="1:10" s="31" customFormat="1" ht="20.100000000000001" customHeight="1" x14ac:dyDescent="0.2">
      <c r="A12" s="203" t="s">
        <v>127</v>
      </c>
      <c r="B12" s="204"/>
      <c r="C12" s="194">
        <f>'1 '!D30</f>
        <v>5.0999999999999996</v>
      </c>
      <c r="D12" s="195"/>
      <c r="E12" s="194">
        <f>'1 '!D31</f>
        <v>7.5</v>
      </c>
      <c r="F12" s="195"/>
      <c r="G12" s="194">
        <f>'1 '!D32</f>
        <v>3.1</v>
      </c>
      <c r="H12" s="195"/>
    </row>
    <row r="13" spans="1:10" s="31" customFormat="1" ht="9" customHeight="1" x14ac:dyDescent="0.35">
      <c r="A13" s="26"/>
      <c r="B13" s="128"/>
      <c r="C13" s="126"/>
      <c r="D13" s="127"/>
      <c r="E13" s="126"/>
      <c r="F13" s="127"/>
      <c r="G13" s="126"/>
      <c r="H13" s="127"/>
      <c r="I13" s="35"/>
      <c r="J13" s="80"/>
    </row>
    <row r="14" spans="1:10" s="31" customFormat="1" ht="20.100000000000001" customHeight="1" x14ac:dyDescent="0.35">
      <c r="A14" s="188" t="s">
        <v>126</v>
      </c>
      <c r="B14" s="202"/>
      <c r="C14" s="112"/>
      <c r="D14" s="113"/>
      <c r="E14" s="112"/>
      <c r="F14" s="113"/>
      <c r="G14" s="112"/>
      <c r="H14" s="113"/>
      <c r="I14" s="35"/>
      <c r="J14" s="80"/>
    </row>
    <row r="15" spans="1:10" s="31" customFormat="1" ht="9.75" customHeight="1" x14ac:dyDescent="0.2">
      <c r="A15" s="26"/>
      <c r="B15" s="128"/>
      <c r="C15" s="112"/>
      <c r="D15" s="113"/>
      <c r="E15" s="112"/>
      <c r="F15" s="113"/>
      <c r="G15" s="112"/>
      <c r="H15" s="113"/>
      <c r="I15" s="35"/>
    </row>
    <row r="16" spans="1:10" s="31" customFormat="1" ht="18" customHeight="1" x14ac:dyDescent="0.2">
      <c r="A16" s="121">
        <v>2020</v>
      </c>
      <c r="B16" s="122" t="s">
        <v>20</v>
      </c>
      <c r="C16" s="114">
        <v>146.4</v>
      </c>
      <c r="D16" s="78">
        <v>146.4</v>
      </c>
      <c r="E16" s="115">
        <v>122</v>
      </c>
      <c r="F16" s="115">
        <v>122.3</v>
      </c>
      <c r="G16" s="135">
        <v>143.4</v>
      </c>
      <c r="H16" s="136">
        <v>134.4</v>
      </c>
      <c r="I16" s="90"/>
      <c r="J16" s="32"/>
    </row>
    <row r="17" spans="1:10" s="31" customFormat="1" ht="18" customHeight="1" x14ac:dyDescent="0.2">
      <c r="A17" s="121"/>
      <c r="B17" s="122" t="s">
        <v>3</v>
      </c>
      <c r="C17" s="114">
        <v>114</v>
      </c>
      <c r="D17" s="78">
        <v>114</v>
      </c>
      <c r="E17" s="115">
        <v>87.2</v>
      </c>
      <c r="F17" s="115">
        <v>91.3</v>
      </c>
      <c r="G17" s="135">
        <v>88.9</v>
      </c>
      <c r="H17" s="136">
        <v>96.5</v>
      </c>
      <c r="I17" s="90"/>
      <c r="J17" s="32"/>
    </row>
    <row r="18" spans="1:10" s="31" customFormat="1" ht="18" customHeight="1" x14ac:dyDescent="0.2">
      <c r="A18" s="121"/>
      <c r="B18" s="122" t="s">
        <v>4</v>
      </c>
      <c r="C18" s="114">
        <v>142.80000000000001</v>
      </c>
      <c r="D18" s="78">
        <v>142.80000000000001</v>
      </c>
      <c r="E18" s="115">
        <v>124.1</v>
      </c>
      <c r="F18" s="115">
        <v>122.3</v>
      </c>
      <c r="G18" s="135">
        <v>122.3</v>
      </c>
      <c r="H18" s="136">
        <v>126.8</v>
      </c>
      <c r="I18" s="90"/>
      <c r="J18" s="32"/>
    </row>
    <row r="19" spans="1:10" s="31" customFormat="1" ht="18" customHeight="1" x14ac:dyDescent="0.2">
      <c r="A19" s="121"/>
      <c r="B19" s="122" t="s">
        <v>125</v>
      </c>
      <c r="C19" s="114">
        <v>150.6</v>
      </c>
      <c r="D19" s="78">
        <v>150.6</v>
      </c>
      <c r="E19" s="115">
        <v>125.2</v>
      </c>
      <c r="F19" s="115">
        <v>120</v>
      </c>
      <c r="G19" s="135">
        <v>135.5</v>
      </c>
      <c r="H19" s="136">
        <v>129.19999999999999</v>
      </c>
      <c r="I19" s="90"/>
      <c r="J19" s="32"/>
    </row>
    <row r="20" spans="1:10" s="31" customFormat="1" ht="18" customHeight="1" x14ac:dyDescent="0.2">
      <c r="A20" s="121"/>
      <c r="B20" s="122"/>
      <c r="C20" s="114"/>
      <c r="D20" s="78"/>
      <c r="E20" s="115"/>
      <c r="F20" s="115"/>
      <c r="G20" s="135"/>
      <c r="H20" s="136"/>
      <c r="I20" s="90"/>
      <c r="J20" s="32"/>
    </row>
    <row r="21" spans="1:10" s="31" customFormat="1" ht="18" customHeight="1" x14ac:dyDescent="0.2">
      <c r="A21" s="121">
        <v>2021</v>
      </c>
      <c r="B21" s="122" t="s">
        <v>120</v>
      </c>
      <c r="C21" s="114">
        <v>153.6</v>
      </c>
      <c r="D21" s="78">
        <v>153.6</v>
      </c>
      <c r="E21" s="115">
        <v>123.2</v>
      </c>
      <c r="F21" s="115">
        <v>123.7</v>
      </c>
      <c r="G21" s="135">
        <v>140.4</v>
      </c>
      <c r="H21" s="136">
        <v>132.9</v>
      </c>
      <c r="I21" s="90"/>
      <c r="J21" s="32"/>
    </row>
    <row r="22" spans="1:10" s="31" customFormat="1" ht="18" customHeight="1" x14ac:dyDescent="0.2">
      <c r="A22" s="121"/>
      <c r="B22" s="122" t="s">
        <v>41</v>
      </c>
      <c r="C22" s="114">
        <v>144.5</v>
      </c>
      <c r="D22" s="78">
        <v>144.5</v>
      </c>
      <c r="E22" s="115">
        <v>118</v>
      </c>
      <c r="F22" s="115">
        <v>125.2</v>
      </c>
      <c r="G22" s="135">
        <v>120.5</v>
      </c>
      <c r="H22" s="136">
        <v>132.1</v>
      </c>
      <c r="I22" s="90"/>
      <c r="J22" s="32"/>
    </row>
    <row r="23" spans="1:10" s="31" customFormat="1" ht="18" customHeight="1" x14ac:dyDescent="0.2">
      <c r="A23" s="121"/>
      <c r="B23" s="122" t="s">
        <v>121</v>
      </c>
      <c r="C23" s="114">
        <v>139.30000000000001</v>
      </c>
      <c r="D23" s="78">
        <v>139.30000000000001</v>
      </c>
      <c r="E23" s="115">
        <v>113.1</v>
      </c>
      <c r="F23" s="115">
        <v>111.3</v>
      </c>
      <c r="G23" s="135">
        <v>120.7</v>
      </c>
      <c r="H23" s="136">
        <v>126</v>
      </c>
      <c r="I23" s="90"/>
      <c r="J23" s="32"/>
    </row>
    <row r="24" spans="1:10" s="31" customFormat="1" ht="18" customHeight="1" x14ac:dyDescent="0.2">
      <c r="A24" s="121"/>
      <c r="B24" s="122" t="s">
        <v>82</v>
      </c>
      <c r="C24" s="114">
        <v>150.69999999999999</v>
      </c>
      <c r="D24" s="78">
        <v>150.69999999999999</v>
      </c>
      <c r="E24" s="115">
        <v>123.8</v>
      </c>
      <c r="F24" s="115">
        <v>118.5</v>
      </c>
      <c r="G24" s="135">
        <v>135.9</v>
      </c>
      <c r="H24" s="136">
        <v>129.30000000000001</v>
      </c>
      <c r="I24" s="90"/>
      <c r="J24" s="32"/>
    </row>
    <row r="25" spans="1:10" s="31" customFormat="1" ht="18" customHeight="1" x14ac:dyDescent="0.2">
      <c r="A25" s="121"/>
      <c r="B25" s="122"/>
      <c r="C25" s="114"/>
      <c r="D25" s="78"/>
      <c r="E25" s="115"/>
      <c r="F25" s="115"/>
      <c r="G25" s="135"/>
      <c r="H25" s="136"/>
      <c r="I25" s="90"/>
      <c r="J25" s="32"/>
    </row>
    <row r="26" spans="1:10" s="31" customFormat="1" ht="18" customHeight="1" x14ac:dyDescent="0.2">
      <c r="A26" s="121">
        <v>2022</v>
      </c>
      <c r="B26" s="122" t="s">
        <v>120</v>
      </c>
      <c r="C26" s="114">
        <v>152.1</v>
      </c>
      <c r="D26" s="78">
        <v>152.1</v>
      </c>
      <c r="E26" s="115">
        <v>125.3</v>
      </c>
      <c r="F26" s="115">
        <v>126.3</v>
      </c>
      <c r="G26" s="135">
        <v>146.30000000000001</v>
      </c>
      <c r="H26" s="136">
        <v>137.80000000000001</v>
      </c>
      <c r="I26" s="90"/>
      <c r="J26" s="32"/>
    </row>
    <row r="27" spans="1:10" s="31" customFormat="1" ht="18" customHeight="1" x14ac:dyDescent="0.2">
      <c r="A27" s="121"/>
      <c r="B27" s="122" t="s">
        <v>122</v>
      </c>
      <c r="C27" s="114">
        <v>159.1</v>
      </c>
      <c r="D27" s="78">
        <v>159.1</v>
      </c>
      <c r="E27" s="115">
        <v>138.1</v>
      </c>
      <c r="F27" s="115">
        <v>146.4</v>
      </c>
      <c r="G27" s="135">
        <v>146.4</v>
      </c>
      <c r="H27" s="136">
        <v>160</v>
      </c>
      <c r="I27" s="90"/>
      <c r="J27" s="32"/>
    </row>
    <row r="28" spans="1:10" s="31" customFormat="1" ht="18" customHeight="1" x14ac:dyDescent="0.2">
      <c r="A28" s="121"/>
      <c r="B28" s="122" t="s">
        <v>121</v>
      </c>
      <c r="C28" s="114">
        <v>162.30000000000001</v>
      </c>
      <c r="D28" s="78">
        <v>162.30000000000001</v>
      </c>
      <c r="E28" s="115">
        <v>137.69999999999999</v>
      </c>
      <c r="F28" s="115">
        <v>135.4</v>
      </c>
      <c r="G28" s="135">
        <v>148.69999999999999</v>
      </c>
      <c r="H28" s="136">
        <v>154.9</v>
      </c>
      <c r="I28" s="90"/>
      <c r="J28" s="32"/>
    </row>
    <row r="29" spans="1:10" s="31" customFormat="1" ht="18" customHeight="1" x14ac:dyDescent="0.2">
      <c r="A29" s="121"/>
      <c r="B29" s="122" t="s">
        <v>123</v>
      </c>
      <c r="C29" s="114">
        <v>161.80000000000001</v>
      </c>
      <c r="D29" s="78">
        <v>161.80000000000001</v>
      </c>
      <c r="E29" s="115">
        <v>137.6</v>
      </c>
      <c r="F29" s="115">
        <v>131.69999999999999</v>
      </c>
      <c r="G29" s="135">
        <v>147.1</v>
      </c>
      <c r="H29" s="136">
        <v>139.4</v>
      </c>
      <c r="I29" s="90"/>
      <c r="J29" s="32"/>
    </row>
    <row r="30" spans="1:10" s="31" customFormat="1" ht="18" customHeight="1" x14ac:dyDescent="0.2">
      <c r="A30" s="121"/>
      <c r="B30" s="122"/>
      <c r="C30" s="114"/>
      <c r="D30" s="78"/>
      <c r="E30" s="115"/>
      <c r="F30" s="115"/>
      <c r="G30" s="135"/>
      <c r="H30" s="136"/>
      <c r="I30" s="90"/>
      <c r="J30" s="32"/>
    </row>
    <row r="31" spans="1:10" s="31" customFormat="1" ht="18" customHeight="1" x14ac:dyDescent="0.2">
      <c r="A31" s="121">
        <v>2023</v>
      </c>
      <c r="B31" s="122" t="s">
        <v>124</v>
      </c>
      <c r="C31" s="114">
        <v>160.4</v>
      </c>
      <c r="D31" s="78">
        <v>160.4</v>
      </c>
      <c r="E31" s="115">
        <v>134.4</v>
      </c>
      <c r="F31" s="115">
        <v>135.4</v>
      </c>
      <c r="G31" s="135">
        <v>142.1</v>
      </c>
      <c r="H31" s="136">
        <v>133.80000000000001</v>
      </c>
      <c r="I31" s="90"/>
      <c r="J31" s="32"/>
    </row>
    <row r="32" spans="1:10" s="31" customFormat="1" ht="18" customHeight="1" thickBot="1" x14ac:dyDescent="0.25">
      <c r="A32" s="121"/>
      <c r="B32" s="122"/>
      <c r="C32" s="116"/>
      <c r="D32" s="79"/>
      <c r="E32" s="115"/>
      <c r="F32" s="115"/>
      <c r="G32" s="137"/>
      <c r="H32" s="138"/>
      <c r="I32" s="42"/>
      <c r="J32" s="32"/>
    </row>
    <row r="33" spans="1:10" s="31" customFormat="1" ht="31.5" customHeight="1" x14ac:dyDescent="0.2">
      <c r="A33" s="168" t="s">
        <v>47</v>
      </c>
      <c r="B33" s="168"/>
      <c r="C33" s="168"/>
      <c r="D33" s="168"/>
      <c r="E33" s="168"/>
      <c r="F33" s="168"/>
      <c r="G33" s="168"/>
      <c r="H33" s="168"/>
      <c r="I33" s="42"/>
      <c r="J33" s="32"/>
    </row>
    <row r="34" spans="1:10" s="31" customFormat="1" ht="18" customHeight="1" x14ac:dyDescent="0.2">
      <c r="A34" s="121">
        <v>2020</v>
      </c>
      <c r="B34" s="122" t="s">
        <v>20</v>
      </c>
      <c r="C34" s="114">
        <v>2.7</v>
      </c>
      <c r="D34" s="78"/>
      <c r="E34" s="115">
        <v>-2</v>
      </c>
      <c r="F34" s="115"/>
      <c r="G34" s="135">
        <v>-1.2</v>
      </c>
      <c r="H34" s="136"/>
      <c r="I34" s="42"/>
      <c r="J34" s="32"/>
    </row>
    <row r="35" spans="1:10" s="31" customFormat="1" ht="18" customHeight="1" x14ac:dyDescent="0.2">
      <c r="A35" s="121"/>
      <c r="B35" s="122" t="s">
        <v>3</v>
      </c>
      <c r="C35" s="114">
        <v>-19.100000000000001</v>
      </c>
      <c r="D35" s="78"/>
      <c r="E35" s="115">
        <v>-30.3</v>
      </c>
      <c r="F35" s="115"/>
      <c r="G35" s="135">
        <v>-33.299999999999997</v>
      </c>
      <c r="H35" s="136"/>
      <c r="I35" s="42"/>
      <c r="J35" s="32"/>
    </row>
    <row r="36" spans="1:10" s="31" customFormat="1" ht="18" customHeight="1" x14ac:dyDescent="0.2">
      <c r="A36" s="121"/>
      <c r="B36" s="122" t="s">
        <v>4</v>
      </c>
      <c r="C36" s="114">
        <v>-2.7</v>
      </c>
      <c r="D36" s="78"/>
      <c r="E36" s="115">
        <v>-4.4000000000000004</v>
      </c>
      <c r="F36" s="115"/>
      <c r="G36" s="135">
        <v>-10.7</v>
      </c>
      <c r="H36" s="136"/>
      <c r="I36" s="42"/>
      <c r="J36" s="32"/>
    </row>
    <row r="37" spans="1:10" s="31" customFormat="1" ht="18" customHeight="1" x14ac:dyDescent="0.2">
      <c r="A37" s="121"/>
      <c r="B37" s="122" t="s">
        <v>125</v>
      </c>
      <c r="C37" s="114">
        <v>-1.7</v>
      </c>
      <c r="D37" s="78"/>
      <c r="E37" s="115">
        <v>-4.5</v>
      </c>
      <c r="F37" s="115"/>
      <c r="G37" s="135">
        <v>-5.3</v>
      </c>
      <c r="H37" s="136"/>
      <c r="I37" s="42"/>
      <c r="J37" s="32"/>
    </row>
    <row r="38" spans="1:10" s="31" customFormat="1" ht="18" customHeight="1" x14ac:dyDescent="0.2">
      <c r="A38" s="121"/>
      <c r="B38" s="122"/>
      <c r="C38" s="114"/>
      <c r="D38" s="78"/>
      <c r="E38" s="115"/>
      <c r="F38" s="115"/>
      <c r="G38" s="135"/>
      <c r="H38" s="136"/>
      <c r="I38" s="42"/>
      <c r="J38" s="32"/>
    </row>
    <row r="39" spans="1:10" s="31" customFormat="1" ht="18" customHeight="1" x14ac:dyDescent="0.2">
      <c r="A39" s="121">
        <v>2021</v>
      </c>
      <c r="B39" s="122" t="s">
        <v>120</v>
      </c>
      <c r="C39" s="114">
        <v>4.9000000000000004</v>
      </c>
      <c r="D39" s="78"/>
      <c r="E39" s="115">
        <v>1</v>
      </c>
      <c r="F39" s="115"/>
      <c r="G39" s="135">
        <v>-2.1</v>
      </c>
      <c r="H39" s="136"/>
      <c r="I39" s="42"/>
      <c r="J39" s="32"/>
    </row>
    <row r="40" spans="1:10" s="31" customFormat="1" ht="18" customHeight="1" x14ac:dyDescent="0.2">
      <c r="A40" s="121"/>
      <c r="B40" s="122" t="s">
        <v>41</v>
      </c>
      <c r="C40" s="114">
        <v>26.7</v>
      </c>
      <c r="D40" s="78"/>
      <c r="E40" s="115">
        <v>35.299999999999997</v>
      </c>
      <c r="F40" s="115"/>
      <c r="G40" s="135">
        <v>35.6</v>
      </c>
      <c r="H40" s="136"/>
      <c r="I40" s="42"/>
      <c r="J40" s="32"/>
    </row>
    <row r="41" spans="1:10" s="31" customFormat="1" ht="18" customHeight="1" x14ac:dyDescent="0.2">
      <c r="A41" s="121"/>
      <c r="B41" s="122" t="s">
        <v>121</v>
      </c>
      <c r="C41" s="114">
        <v>-2.5</v>
      </c>
      <c r="D41" s="78"/>
      <c r="E41" s="115">
        <v>-8.9</v>
      </c>
      <c r="F41" s="115"/>
      <c r="G41" s="135">
        <v>-1.3</v>
      </c>
      <c r="H41" s="136"/>
      <c r="I41" s="42"/>
      <c r="J41" s="32"/>
    </row>
    <row r="42" spans="1:10" s="31" customFormat="1" ht="18" customHeight="1" x14ac:dyDescent="0.2">
      <c r="A42" s="121"/>
      <c r="B42" s="122" t="s">
        <v>82</v>
      </c>
      <c r="C42" s="114">
        <v>0.1</v>
      </c>
      <c r="D42" s="78"/>
      <c r="E42" s="115">
        <v>-1.1000000000000001</v>
      </c>
      <c r="F42" s="115"/>
      <c r="G42" s="135">
        <v>0.3</v>
      </c>
      <c r="H42" s="136"/>
      <c r="I42" s="42"/>
      <c r="J42" s="32"/>
    </row>
    <row r="43" spans="1:10" s="31" customFormat="1" ht="18" customHeight="1" x14ac:dyDescent="0.2">
      <c r="A43" s="121"/>
      <c r="B43" s="122"/>
      <c r="C43" s="114"/>
      <c r="D43" s="78"/>
      <c r="E43" s="115"/>
      <c r="F43" s="115"/>
      <c r="G43" s="135"/>
      <c r="H43" s="136"/>
      <c r="I43" s="42"/>
      <c r="J43" s="32"/>
    </row>
    <row r="44" spans="1:10" s="31" customFormat="1" ht="18" customHeight="1" x14ac:dyDescent="0.2">
      <c r="A44" s="121">
        <v>2022</v>
      </c>
      <c r="B44" s="122" t="s">
        <v>120</v>
      </c>
      <c r="C44" s="114">
        <v>-0.9</v>
      </c>
      <c r="D44" s="78"/>
      <c r="E44" s="115">
        <v>1.7</v>
      </c>
      <c r="F44" s="115"/>
      <c r="G44" s="135">
        <v>4.2</v>
      </c>
      <c r="H44" s="136"/>
      <c r="I44" s="42"/>
      <c r="J44" s="32"/>
    </row>
    <row r="45" spans="1:10" s="31" customFormat="1" ht="18" customHeight="1" x14ac:dyDescent="0.2">
      <c r="A45" s="121"/>
      <c r="B45" s="122" t="s">
        <v>122</v>
      </c>
      <c r="C45" s="114">
        <v>10.1</v>
      </c>
      <c r="D45" s="78"/>
      <c r="E45" s="115">
        <v>17</v>
      </c>
      <c r="F45" s="115"/>
      <c r="G45" s="135">
        <v>21.5</v>
      </c>
      <c r="H45" s="136"/>
      <c r="I45" s="42"/>
      <c r="J45" s="32"/>
    </row>
    <row r="46" spans="1:10" s="31" customFormat="1" ht="18" customHeight="1" x14ac:dyDescent="0.2">
      <c r="A46" s="121"/>
      <c r="B46" s="122" t="s">
        <v>121</v>
      </c>
      <c r="C46" s="114">
        <v>16.5</v>
      </c>
      <c r="D46" s="78"/>
      <c r="E46" s="115">
        <v>21.7</v>
      </c>
      <c r="F46" s="115"/>
      <c r="G46" s="135">
        <v>23.2</v>
      </c>
      <c r="H46" s="136"/>
      <c r="I46" s="42"/>
      <c r="J46" s="32"/>
    </row>
    <row r="47" spans="1:10" s="31" customFormat="1" ht="18" customHeight="1" x14ac:dyDescent="0.2">
      <c r="A47" s="121"/>
      <c r="B47" s="122" t="s">
        <v>123</v>
      </c>
      <c r="C47" s="114">
        <v>7.4</v>
      </c>
      <c r="D47" s="78"/>
      <c r="E47" s="115">
        <v>11.2</v>
      </c>
      <c r="F47" s="115"/>
      <c r="G47" s="135">
        <v>8.1</v>
      </c>
      <c r="H47" s="136"/>
      <c r="I47" s="42"/>
      <c r="J47" s="32"/>
    </row>
    <row r="48" spans="1:10" s="31" customFormat="1" ht="18" customHeight="1" x14ac:dyDescent="0.2">
      <c r="A48" s="121"/>
      <c r="B48" s="122"/>
      <c r="C48" s="114"/>
      <c r="D48" s="78"/>
      <c r="E48" s="115"/>
      <c r="F48" s="115"/>
      <c r="G48" s="135"/>
      <c r="H48" s="136"/>
      <c r="I48" s="42"/>
      <c r="J48" s="32"/>
    </row>
    <row r="49" spans="1:10" s="31" customFormat="1" ht="18" customHeight="1" x14ac:dyDescent="0.2">
      <c r="A49" s="121">
        <v>2023</v>
      </c>
      <c r="B49" s="122" t="s">
        <v>124</v>
      </c>
      <c r="C49" s="114">
        <v>5.5</v>
      </c>
      <c r="D49" s="78"/>
      <c r="E49" s="115">
        <v>7.2</v>
      </c>
      <c r="F49" s="115"/>
      <c r="G49" s="135">
        <v>-2.9</v>
      </c>
      <c r="H49" s="136"/>
      <c r="I49" s="42"/>
      <c r="J49" s="32"/>
    </row>
    <row r="50" spans="1:10" s="31" customFormat="1" ht="18" customHeight="1" thickBot="1" x14ac:dyDescent="0.25">
      <c r="A50" s="121"/>
      <c r="B50" s="122"/>
      <c r="C50" s="116"/>
      <c r="D50" s="79"/>
      <c r="E50" s="115"/>
      <c r="F50" s="115"/>
      <c r="G50" s="137"/>
      <c r="H50" s="138"/>
      <c r="I50" s="42"/>
      <c r="J50" s="32"/>
    </row>
    <row r="51" spans="1:10" s="31" customFormat="1" ht="31.5" customHeight="1" x14ac:dyDescent="0.2">
      <c r="A51" s="168" t="s">
        <v>49</v>
      </c>
      <c r="B51" s="168"/>
      <c r="C51" s="168"/>
      <c r="D51" s="168"/>
      <c r="E51" s="168"/>
      <c r="F51" s="168"/>
      <c r="G51" s="168"/>
      <c r="H51" s="168"/>
      <c r="I51" s="42"/>
      <c r="J51" s="32"/>
    </row>
    <row r="52" spans="1:10" s="31" customFormat="1" ht="18" customHeight="1" x14ac:dyDescent="0.2">
      <c r="A52" s="121">
        <v>2020</v>
      </c>
      <c r="B52" s="122" t="s">
        <v>20</v>
      </c>
      <c r="C52" s="114">
        <v>-4.4000000000000004</v>
      </c>
      <c r="D52" s="78">
        <v>-4.4000000000000004</v>
      </c>
      <c r="E52" s="115">
        <v>-6.9</v>
      </c>
      <c r="F52" s="115">
        <v>-3.1</v>
      </c>
      <c r="G52" s="135">
        <v>0.2</v>
      </c>
      <c r="H52" s="136">
        <v>-2.4</v>
      </c>
      <c r="I52" s="90"/>
      <c r="J52" s="40"/>
    </row>
    <row r="53" spans="1:10" s="31" customFormat="1" ht="18" customHeight="1" x14ac:dyDescent="0.2">
      <c r="A53" s="121"/>
      <c r="B53" s="122" t="s">
        <v>3</v>
      </c>
      <c r="C53" s="114">
        <v>-22.1</v>
      </c>
      <c r="D53" s="78">
        <v>-22.1</v>
      </c>
      <c r="E53" s="115">
        <v>-28.5</v>
      </c>
      <c r="F53" s="115">
        <v>-25.4</v>
      </c>
      <c r="G53" s="135">
        <v>-38</v>
      </c>
      <c r="H53" s="136">
        <v>-28.2</v>
      </c>
      <c r="I53" s="90"/>
      <c r="J53" s="40"/>
    </row>
    <row r="54" spans="1:10" s="31" customFormat="1" ht="18" customHeight="1" x14ac:dyDescent="0.2">
      <c r="A54" s="121"/>
      <c r="B54" s="122" t="s">
        <v>4</v>
      </c>
      <c r="C54" s="114">
        <v>25.3</v>
      </c>
      <c r="D54" s="78">
        <v>25.3</v>
      </c>
      <c r="E54" s="115">
        <v>42.3</v>
      </c>
      <c r="F54" s="115">
        <v>34</v>
      </c>
      <c r="G54" s="135">
        <v>37.700000000000003</v>
      </c>
      <c r="H54" s="136">
        <v>31.3</v>
      </c>
      <c r="I54" s="90"/>
      <c r="J54" s="40"/>
    </row>
    <row r="55" spans="1:10" s="31" customFormat="1" ht="18" customHeight="1" x14ac:dyDescent="0.2">
      <c r="A55" s="121"/>
      <c r="B55" s="122" t="s">
        <v>125</v>
      </c>
      <c r="C55" s="114">
        <v>5.4</v>
      </c>
      <c r="D55" s="78">
        <v>5.4</v>
      </c>
      <c r="E55" s="115">
        <v>0.9</v>
      </c>
      <c r="F55" s="115">
        <v>-1.9</v>
      </c>
      <c r="G55" s="135">
        <v>10.8</v>
      </c>
      <c r="H55" s="136">
        <v>1.9</v>
      </c>
      <c r="I55" s="90"/>
      <c r="J55" s="40"/>
    </row>
    <row r="56" spans="1:10" s="31" customFormat="1" ht="18" customHeight="1" x14ac:dyDescent="0.2">
      <c r="A56" s="121"/>
      <c r="B56" s="122"/>
      <c r="C56" s="114"/>
      <c r="D56" s="78"/>
      <c r="E56" s="115"/>
      <c r="F56" s="115"/>
      <c r="G56" s="135"/>
      <c r="H56" s="136"/>
      <c r="I56" s="90"/>
      <c r="J56" s="40"/>
    </row>
    <row r="57" spans="1:10" s="31" customFormat="1" ht="18" customHeight="1" x14ac:dyDescent="0.2">
      <c r="A57" s="121">
        <v>2021</v>
      </c>
      <c r="B57" s="122" t="s">
        <v>120</v>
      </c>
      <c r="C57" s="114">
        <v>2</v>
      </c>
      <c r="D57" s="78">
        <v>2</v>
      </c>
      <c r="E57" s="115">
        <v>-1.6</v>
      </c>
      <c r="F57" s="115">
        <v>3</v>
      </c>
      <c r="G57" s="135">
        <v>3.6</v>
      </c>
      <c r="H57" s="136">
        <v>2.9</v>
      </c>
      <c r="I57" s="90"/>
      <c r="J57" s="40"/>
    </row>
    <row r="58" spans="1:10" s="31" customFormat="1" ht="18" customHeight="1" x14ac:dyDescent="0.2">
      <c r="A58" s="121"/>
      <c r="B58" s="122" t="s">
        <v>41</v>
      </c>
      <c r="C58" s="114">
        <v>-5.9</v>
      </c>
      <c r="D58" s="78">
        <v>-5.9</v>
      </c>
      <c r="E58" s="115">
        <v>-4.2</v>
      </c>
      <c r="F58" s="115">
        <v>1.3</v>
      </c>
      <c r="G58" s="135">
        <v>-14.1</v>
      </c>
      <c r="H58" s="136">
        <v>-0.6</v>
      </c>
      <c r="I58" s="90"/>
      <c r="J58" s="40"/>
    </row>
    <row r="59" spans="1:10" s="31" customFormat="1" ht="18" customHeight="1" x14ac:dyDescent="0.2">
      <c r="A59" s="121"/>
      <c r="B59" s="122" t="s">
        <v>121</v>
      </c>
      <c r="C59" s="114">
        <v>-3.6</v>
      </c>
      <c r="D59" s="78">
        <v>-3.6</v>
      </c>
      <c r="E59" s="115">
        <v>-4.2</v>
      </c>
      <c r="F59" s="115">
        <v>-11.1</v>
      </c>
      <c r="G59" s="135">
        <v>0.2</v>
      </c>
      <c r="H59" s="136">
        <v>-4.5999999999999996</v>
      </c>
      <c r="I59" s="90"/>
      <c r="J59" s="40"/>
    </row>
    <row r="60" spans="1:10" s="31" customFormat="1" ht="18" customHeight="1" x14ac:dyDescent="0.2">
      <c r="A60" s="121"/>
      <c r="B60" s="122" t="s">
        <v>82</v>
      </c>
      <c r="C60" s="114">
        <v>8.1999999999999993</v>
      </c>
      <c r="D60" s="78">
        <v>8.1999999999999993</v>
      </c>
      <c r="E60" s="115">
        <v>9.4</v>
      </c>
      <c r="F60" s="115">
        <v>6.5</v>
      </c>
      <c r="G60" s="135">
        <v>12.6</v>
      </c>
      <c r="H60" s="136">
        <v>2.6</v>
      </c>
      <c r="I60" s="90"/>
      <c r="J60" s="40"/>
    </row>
    <row r="61" spans="1:10" s="31" customFormat="1" ht="18" customHeight="1" x14ac:dyDescent="0.2">
      <c r="A61" s="121"/>
      <c r="B61" s="122"/>
      <c r="C61" s="114"/>
      <c r="D61" s="78"/>
      <c r="E61" s="115"/>
      <c r="F61" s="115"/>
      <c r="G61" s="135"/>
      <c r="H61" s="136"/>
      <c r="I61" s="90"/>
      <c r="J61" s="40"/>
    </row>
    <row r="62" spans="1:10" s="31" customFormat="1" ht="18" customHeight="1" x14ac:dyDescent="0.2">
      <c r="A62" s="121">
        <v>2022</v>
      </c>
      <c r="B62" s="122" t="s">
        <v>120</v>
      </c>
      <c r="C62" s="114">
        <v>0.9</v>
      </c>
      <c r="D62" s="78">
        <v>0.9</v>
      </c>
      <c r="E62" s="115">
        <v>1.3</v>
      </c>
      <c r="F62" s="115">
        <v>6.6</v>
      </c>
      <c r="G62" s="135">
        <v>7.6</v>
      </c>
      <c r="H62" s="136">
        <v>6.6</v>
      </c>
      <c r="I62" s="90"/>
      <c r="J62" s="40"/>
    </row>
    <row r="63" spans="1:10" s="31" customFormat="1" ht="18" customHeight="1" x14ac:dyDescent="0.2">
      <c r="A63" s="121"/>
      <c r="B63" s="122" t="s">
        <v>122</v>
      </c>
      <c r="C63" s="114">
        <v>4.5999999999999996</v>
      </c>
      <c r="D63" s="78">
        <v>4.5999999999999996</v>
      </c>
      <c r="E63" s="115">
        <v>10.199999999999999</v>
      </c>
      <c r="F63" s="115">
        <v>15.9</v>
      </c>
      <c r="G63" s="135">
        <v>0.1</v>
      </c>
      <c r="H63" s="136">
        <v>16.100000000000001</v>
      </c>
      <c r="I63" s="90"/>
      <c r="J63" s="40"/>
    </row>
    <row r="64" spans="1:10" s="31" customFormat="1" ht="18" customHeight="1" x14ac:dyDescent="0.2">
      <c r="A64" s="121"/>
      <c r="B64" s="122" t="s">
        <v>121</v>
      </c>
      <c r="C64" s="114">
        <v>2</v>
      </c>
      <c r="D64" s="78">
        <v>2</v>
      </c>
      <c r="E64" s="115">
        <v>-0.3</v>
      </c>
      <c r="F64" s="115">
        <v>-7.5</v>
      </c>
      <c r="G64" s="135">
        <v>1.6</v>
      </c>
      <c r="H64" s="136">
        <v>-3.2</v>
      </c>
      <c r="I64" s="90"/>
      <c r="J64" s="40"/>
    </row>
    <row r="65" spans="1:10" s="31" customFormat="1" ht="18" customHeight="1" x14ac:dyDescent="0.2">
      <c r="A65" s="121"/>
      <c r="B65" s="122" t="s">
        <v>123</v>
      </c>
      <c r="C65" s="114">
        <v>-0.3</v>
      </c>
      <c r="D65" s="78">
        <v>-0.3</v>
      </c>
      <c r="E65" s="141">
        <v>-0.04</v>
      </c>
      <c r="F65" s="115">
        <v>-2.7</v>
      </c>
      <c r="G65" s="135">
        <v>-1.1000000000000001</v>
      </c>
      <c r="H65" s="136">
        <v>-10</v>
      </c>
      <c r="I65" s="90"/>
      <c r="J65" s="40"/>
    </row>
    <row r="66" spans="1:10" s="31" customFormat="1" ht="18" customHeight="1" x14ac:dyDescent="0.2">
      <c r="A66" s="121"/>
      <c r="B66" s="122"/>
      <c r="C66" s="114"/>
      <c r="D66" s="78"/>
      <c r="E66" s="115"/>
      <c r="F66" s="115"/>
      <c r="G66" s="135"/>
      <c r="H66" s="136"/>
      <c r="I66" s="90"/>
      <c r="J66" s="40"/>
    </row>
    <row r="67" spans="1:10" s="31" customFormat="1" ht="18" customHeight="1" x14ac:dyDescent="0.2">
      <c r="A67" s="121">
        <v>2023</v>
      </c>
      <c r="B67" s="122" t="s">
        <v>124</v>
      </c>
      <c r="C67" s="114">
        <v>-0.9</v>
      </c>
      <c r="D67" s="78">
        <v>-0.9</v>
      </c>
      <c r="E67" s="115">
        <v>-2.2999999999999998</v>
      </c>
      <c r="F67" s="115">
        <v>2.8</v>
      </c>
      <c r="G67" s="135">
        <v>-3.4</v>
      </c>
      <c r="H67" s="136">
        <v>-4</v>
      </c>
      <c r="I67" s="90"/>
      <c r="J67" s="40"/>
    </row>
    <row r="68" spans="1:10" s="31" customFormat="1" ht="18" customHeight="1" thickBot="1" x14ac:dyDescent="0.25">
      <c r="A68" s="121"/>
      <c r="B68" s="122"/>
      <c r="C68" s="114"/>
      <c r="D68" s="78"/>
      <c r="E68" s="115"/>
      <c r="F68" s="115"/>
      <c r="G68" s="137"/>
      <c r="H68" s="138"/>
      <c r="I68" s="42"/>
      <c r="J68" s="32"/>
    </row>
    <row r="69" spans="1:10" s="31" customFormat="1" ht="7.5" hidden="1" customHeight="1" thickBot="1" x14ac:dyDescent="0.25">
      <c r="B69" s="93"/>
      <c r="C69" s="67"/>
      <c r="D69" s="68"/>
      <c r="E69" s="70"/>
      <c r="F69" s="70"/>
      <c r="G69" s="77"/>
      <c r="H69" s="74"/>
    </row>
    <row r="70" spans="1:10" s="59" customFormat="1" ht="51.75" customHeight="1" thickBot="1" x14ac:dyDescent="0.3">
      <c r="A70" s="162" t="s">
        <v>30</v>
      </c>
      <c r="B70" s="191"/>
      <c r="C70" s="190" t="s">
        <v>55</v>
      </c>
      <c r="D70" s="191"/>
      <c r="E70" s="190" t="s">
        <v>15</v>
      </c>
      <c r="F70" s="191"/>
      <c r="G70" s="190" t="s">
        <v>56</v>
      </c>
      <c r="H70" s="191"/>
    </row>
    <row r="71" spans="1:10" ht="17.25" hidden="1" customHeight="1" thickBot="1" x14ac:dyDescent="0.25">
      <c r="A71" s="18" t="s">
        <v>48</v>
      </c>
      <c r="B71" s="15"/>
      <c r="C71" s="13"/>
      <c r="D71" s="13"/>
      <c r="E71" s="31"/>
      <c r="F71" s="71"/>
      <c r="G71" s="71"/>
      <c r="H71" s="71"/>
    </row>
    <row r="72" spans="1:10" ht="21.95" customHeight="1" x14ac:dyDescent="0.2">
      <c r="A72" s="13" t="s">
        <v>44</v>
      </c>
      <c r="B72" s="15"/>
      <c r="C72" s="13"/>
      <c r="D72" s="13"/>
    </row>
    <row r="73" spans="1:10" ht="16.5" x14ac:dyDescent="0.2">
      <c r="A73" s="24" t="s">
        <v>143</v>
      </c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33" customHeight="1" x14ac:dyDescent="0.2">
      <c r="A74" s="174" t="s">
        <v>51</v>
      </c>
      <c r="B74" s="174"/>
      <c r="C74" s="174"/>
      <c r="D74" s="174"/>
      <c r="E74" s="174"/>
      <c r="F74" s="174"/>
      <c r="G74" s="174"/>
      <c r="H74" s="174"/>
    </row>
    <row r="75" spans="1:10" ht="15" x14ac:dyDescent="0.2">
      <c r="A75" s="64"/>
      <c r="B75" s="6"/>
      <c r="C75" s="5"/>
      <c r="D75" s="5"/>
      <c r="E75" s="34"/>
      <c r="F75" s="34"/>
      <c r="G75" s="34"/>
      <c r="H75" s="34"/>
      <c r="I75" s="34"/>
    </row>
    <row r="76" spans="1:10" x14ac:dyDescent="0.2">
      <c r="A76" s="26"/>
      <c r="B76" s="26"/>
      <c r="C76" s="26"/>
      <c r="D76" s="26"/>
      <c r="E76" s="26"/>
      <c r="F76" s="26"/>
      <c r="G76" s="26"/>
      <c r="H76" s="26"/>
    </row>
    <row r="77" spans="1:10" ht="15" x14ac:dyDescent="0.2">
      <c r="A77" s="34"/>
      <c r="B77" s="34"/>
      <c r="C77" s="34"/>
      <c r="D77" s="34"/>
    </row>
    <row r="80" spans="1:10" x14ac:dyDescent="0.2">
      <c r="E80" s="66"/>
      <c r="F80" s="66"/>
      <c r="G80" s="66"/>
      <c r="H80" s="66"/>
    </row>
    <row r="82" spans="1:4" x14ac:dyDescent="0.2">
      <c r="A82" s="66"/>
      <c r="B82" s="66"/>
      <c r="C82" s="66"/>
      <c r="D82" s="66"/>
    </row>
  </sheetData>
  <sheetProtection algorithmName="SHA-512" hashValue="1sLA4EQPVaN5isKNdPhDHU2nSVvuV8ZqeIbz7Y2qZXFm+KmFSnhiPLrqmywklUWsHXkqcAT8nDqDwDYmuzUPeg==" saltValue="TDgC1B1j6g8Tw0knkcpeGA==" spinCount="100000" sheet="1" objects="1" scenarios="1"/>
  <mergeCells count="28">
    <mergeCell ref="A3:H3"/>
    <mergeCell ref="A4:H4"/>
    <mergeCell ref="A5:H5"/>
    <mergeCell ref="A33:H33"/>
    <mergeCell ref="A51:H51"/>
    <mergeCell ref="A14:B14"/>
    <mergeCell ref="A12:B12"/>
    <mergeCell ref="G9:H9"/>
    <mergeCell ref="C9:D9"/>
    <mergeCell ref="C10:C11"/>
    <mergeCell ref="D10:D11"/>
    <mergeCell ref="E10:E11"/>
    <mergeCell ref="F10:F11"/>
    <mergeCell ref="E12:F12"/>
    <mergeCell ref="C12:D12"/>
    <mergeCell ref="E9:F9"/>
    <mergeCell ref="A74:H74"/>
    <mergeCell ref="G8:H8"/>
    <mergeCell ref="G12:H12"/>
    <mergeCell ref="G70:H70"/>
    <mergeCell ref="A70:B70"/>
    <mergeCell ref="C70:D70"/>
    <mergeCell ref="E70:F70"/>
    <mergeCell ref="G10:G11"/>
    <mergeCell ref="H10:H11"/>
    <mergeCell ref="A8:B11"/>
    <mergeCell ref="C8:D8"/>
    <mergeCell ref="E8:F8"/>
  </mergeCells>
  <printOptions horizontalCentered="1"/>
  <pageMargins left="0" right="0" top="0.15748031496062992" bottom="0" header="0.31496062992125984" footer="0.31496062992125984"/>
  <pageSetup paperSize="9" scale="56" orientation="portrait" r:id="rId1"/>
  <headerFooter scaleWithDoc="0" alignWithMargins="0">
    <oddFooter>&amp;C&amp;"Arial,Regular"&amp;10 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theme="0"/>
  </sheetPr>
  <dimension ref="A1:J82"/>
  <sheetViews>
    <sheetView zoomScaleNormal="100" zoomScalePageLayoutView="50" workbookViewId="0">
      <pane ySplit="11" topLeftCell="A69" activePane="bottomLeft" state="frozen"/>
      <selection activeCell="E13" sqref="E13"/>
      <selection pane="bottomLeft" activeCell="H77" sqref="H77"/>
    </sheetView>
  </sheetViews>
  <sheetFormatPr defaultColWidth="9.140625" defaultRowHeight="14.25" x14ac:dyDescent="0.2"/>
  <cols>
    <col min="1" max="1" width="22.7109375" style="24" customWidth="1"/>
    <col min="2" max="2" width="11.140625" style="25" customWidth="1"/>
    <col min="3" max="3" width="17.42578125" style="24" customWidth="1"/>
    <col min="4" max="4" width="21.85546875" style="24" customWidth="1"/>
    <col min="5" max="5" width="17.42578125" style="24" customWidth="1"/>
    <col min="6" max="6" width="21.85546875" style="24" customWidth="1"/>
    <col min="7" max="7" width="17.42578125" style="24" customWidth="1"/>
    <col min="8" max="8" width="21.85546875" style="24" customWidth="1"/>
    <col min="9" max="9" width="11.42578125" style="26" customWidth="1"/>
    <col min="10" max="16384" width="9.140625" style="26"/>
  </cols>
  <sheetData>
    <row r="1" spans="1:9" ht="14.25" customHeight="1" x14ac:dyDescent="0.2"/>
    <row r="2" spans="1:9" ht="16.5" customHeight="1" x14ac:dyDescent="0.2"/>
    <row r="3" spans="1:9" ht="17.25" customHeight="1" x14ac:dyDescent="0.2">
      <c r="A3" s="148" t="s">
        <v>78</v>
      </c>
      <c r="B3" s="148"/>
      <c r="C3" s="148"/>
      <c r="D3" s="148"/>
      <c r="E3" s="148"/>
      <c r="F3" s="148"/>
      <c r="G3" s="148"/>
      <c r="H3" s="148"/>
      <c r="I3" s="39"/>
    </row>
    <row r="4" spans="1:9" ht="17.25" customHeight="1" x14ac:dyDescent="0.2">
      <c r="A4" s="147" t="s">
        <v>79</v>
      </c>
      <c r="B4" s="147"/>
      <c r="C4" s="147"/>
      <c r="D4" s="147"/>
      <c r="E4" s="147"/>
      <c r="F4" s="147"/>
      <c r="G4" s="147"/>
      <c r="H4" s="147"/>
      <c r="I4" s="52"/>
    </row>
    <row r="5" spans="1:9" ht="17.25" customHeight="1" x14ac:dyDescent="0.2">
      <c r="A5" s="148" t="s">
        <v>34</v>
      </c>
      <c r="B5" s="148"/>
      <c r="C5" s="148"/>
      <c r="D5" s="148"/>
      <c r="E5" s="148"/>
      <c r="F5" s="148"/>
      <c r="G5" s="148"/>
      <c r="H5" s="148"/>
      <c r="I5" s="31"/>
    </row>
    <row r="6" spans="1:9" s="5" customFormat="1" ht="15" customHeight="1" x14ac:dyDescent="0.2">
      <c r="A6" s="14"/>
      <c r="H6" s="29"/>
    </row>
    <row r="7" spans="1:9" s="5" customFormat="1" ht="13.5" thickBot="1" x14ac:dyDescent="0.25">
      <c r="A7" s="14"/>
      <c r="H7" s="30"/>
    </row>
    <row r="8" spans="1:9" s="59" customFormat="1" ht="55.5" customHeight="1" x14ac:dyDescent="0.25">
      <c r="A8" s="166" t="s">
        <v>148</v>
      </c>
      <c r="B8" s="166"/>
      <c r="C8" s="166" t="s">
        <v>33</v>
      </c>
      <c r="D8" s="166"/>
      <c r="E8" s="166" t="s">
        <v>69</v>
      </c>
      <c r="F8" s="166"/>
      <c r="G8" s="166" t="s">
        <v>11</v>
      </c>
      <c r="H8" s="166"/>
    </row>
    <row r="9" spans="1:9" s="31" customFormat="1" ht="20.100000000000001" customHeight="1" x14ac:dyDescent="0.2">
      <c r="A9" s="153"/>
      <c r="B9" s="153"/>
      <c r="C9" s="198">
        <v>477</v>
      </c>
      <c r="D9" s="198"/>
      <c r="E9" s="198">
        <v>478</v>
      </c>
      <c r="F9" s="198"/>
      <c r="G9" s="198" t="s">
        <v>40</v>
      </c>
      <c r="H9" s="198"/>
    </row>
    <row r="10" spans="1:9" s="31" customFormat="1" ht="27.75" customHeight="1" x14ac:dyDescent="0.2">
      <c r="A10" s="153"/>
      <c r="B10" s="153"/>
      <c r="C10" s="153" t="s">
        <v>136</v>
      </c>
      <c r="D10" s="153" t="s">
        <v>117</v>
      </c>
      <c r="E10" s="153" t="s">
        <v>136</v>
      </c>
      <c r="F10" s="153" t="s">
        <v>117</v>
      </c>
      <c r="G10" s="153" t="s">
        <v>136</v>
      </c>
      <c r="H10" s="153" t="s">
        <v>117</v>
      </c>
    </row>
    <row r="11" spans="1:9" s="31" customFormat="1" ht="24.75" customHeight="1" thickBot="1" x14ac:dyDescent="0.25">
      <c r="A11" s="154"/>
      <c r="B11" s="154"/>
      <c r="C11" s="154"/>
      <c r="D11" s="154"/>
      <c r="E11" s="154"/>
      <c r="F11" s="154"/>
      <c r="G11" s="154"/>
      <c r="H11" s="154"/>
    </row>
    <row r="12" spans="1:9" s="31" customFormat="1" ht="20.100000000000001" customHeight="1" x14ac:dyDescent="0.2">
      <c r="A12" s="171" t="s">
        <v>127</v>
      </c>
      <c r="B12" s="171"/>
      <c r="C12" s="193">
        <f>'1 '!D33</f>
        <v>11.9</v>
      </c>
      <c r="D12" s="193"/>
      <c r="E12" s="193">
        <f>'1 '!D34</f>
        <v>0.1</v>
      </c>
      <c r="F12" s="193"/>
      <c r="G12" s="193">
        <f>'1 '!D35</f>
        <v>0.6</v>
      </c>
      <c r="H12" s="193"/>
    </row>
    <row r="13" spans="1:9" s="31" customFormat="1" ht="9" customHeight="1" x14ac:dyDescent="0.2">
      <c r="A13" s="26"/>
      <c r="B13" s="128"/>
      <c r="C13" s="126"/>
      <c r="D13" s="127"/>
      <c r="E13" s="126"/>
      <c r="F13" s="127"/>
      <c r="G13" s="126"/>
      <c r="H13" s="127"/>
      <c r="I13" s="35"/>
    </row>
    <row r="14" spans="1:9" s="31" customFormat="1" ht="19.5" customHeight="1" x14ac:dyDescent="0.25">
      <c r="A14" s="188" t="s">
        <v>126</v>
      </c>
      <c r="B14" s="188"/>
      <c r="C14" s="112"/>
      <c r="D14" s="113"/>
      <c r="E14" s="112"/>
      <c r="F14" s="113"/>
      <c r="G14" s="112"/>
      <c r="H14" s="113"/>
      <c r="I14" s="35"/>
    </row>
    <row r="15" spans="1:9" s="31" customFormat="1" ht="9.75" customHeight="1" x14ac:dyDescent="0.2">
      <c r="A15" s="26"/>
      <c r="B15" s="128"/>
      <c r="C15" s="112"/>
      <c r="D15" s="113"/>
      <c r="E15" s="112"/>
      <c r="F15" s="113"/>
      <c r="G15" s="112"/>
      <c r="H15" s="113"/>
      <c r="I15" s="35"/>
    </row>
    <row r="16" spans="1:9" s="31" customFormat="1" ht="18" customHeight="1" x14ac:dyDescent="0.2">
      <c r="A16" s="121">
        <v>2020</v>
      </c>
      <c r="B16" s="122" t="s">
        <v>20</v>
      </c>
      <c r="C16" s="114">
        <v>141.5</v>
      </c>
      <c r="D16" s="55">
        <v>141.5</v>
      </c>
      <c r="E16" s="114">
        <v>141.9</v>
      </c>
      <c r="F16" s="55">
        <v>139.80000000000001</v>
      </c>
      <c r="G16" s="115">
        <v>134.19999999999999</v>
      </c>
      <c r="H16" s="55">
        <v>134.19999999999999</v>
      </c>
      <c r="I16" s="35"/>
    </row>
    <row r="17" spans="1:9" s="31" customFormat="1" ht="18" customHeight="1" x14ac:dyDescent="0.2">
      <c r="A17" s="121"/>
      <c r="B17" s="122" t="s">
        <v>3</v>
      </c>
      <c r="C17" s="114">
        <v>93.4</v>
      </c>
      <c r="D17" s="55">
        <v>97.9</v>
      </c>
      <c r="E17" s="114">
        <v>140.69999999999999</v>
      </c>
      <c r="F17" s="55">
        <v>141.6</v>
      </c>
      <c r="G17" s="115">
        <v>133.4</v>
      </c>
      <c r="H17" s="55">
        <v>133.4</v>
      </c>
      <c r="I17" s="35"/>
    </row>
    <row r="18" spans="1:9" s="31" customFormat="1" ht="18" customHeight="1" x14ac:dyDescent="0.2">
      <c r="A18" s="121"/>
      <c r="B18" s="122" t="s">
        <v>4</v>
      </c>
      <c r="C18" s="114">
        <v>138.19999999999999</v>
      </c>
      <c r="D18" s="55">
        <v>135.1</v>
      </c>
      <c r="E18" s="114">
        <v>143.4</v>
      </c>
      <c r="F18" s="55">
        <v>147.19999999999999</v>
      </c>
      <c r="G18" s="115">
        <v>140.69999999999999</v>
      </c>
      <c r="H18" s="55">
        <v>140.69999999999999</v>
      </c>
      <c r="I18" s="35"/>
    </row>
    <row r="19" spans="1:9" s="31" customFormat="1" ht="18" customHeight="1" x14ac:dyDescent="0.2">
      <c r="A19" s="121"/>
      <c r="B19" s="122" t="s">
        <v>125</v>
      </c>
      <c r="C19" s="114">
        <v>138.30000000000001</v>
      </c>
      <c r="D19" s="55">
        <v>133.5</v>
      </c>
      <c r="E19" s="114">
        <v>145.6</v>
      </c>
      <c r="F19" s="55">
        <v>143.30000000000001</v>
      </c>
      <c r="G19" s="115">
        <v>153.9</v>
      </c>
      <c r="H19" s="55">
        <v>153.9</v>
      </c>
      <c r="I19" s="35"/>
    </row>
    <row r="20" spans="1:9" s="31" customFormat="1" ht="18" customHeight="1" x14ac:dyDescent="0.2">
      <c r="A20" s="121"/>
      <c r="B20" s="122"/>
      <c r="C20" s="114"/>
      <c r="D20" s="55"/>
      <c r="E20" s="114"/>
      <c r="F20" s="55"/>
      <c r="G20" s="115"/>
      <c r="H20" s="55"/>
      <c r="I20" s="35"/>
    </row>
    <row r="21" spans="1:9" s="31" customFormat="1" ht="18" customHeight="1" x14ac:dyDescent="0.2">
      <c r="A21" s="121">
        <v>2021</v>
      </c>
      <c r="B21" s="122" t="s">
        <v>120</v>
      </c>
      <c r="C21" s="114">
        <v>138.19999999999999</v>
      </c>
      <c r="D21" s="55">
        <v>138.6</v>
      </c>
      <c r="E21" s="114">
        <v>148.5</v>
      </c>
      <c r="F21" s="55">
        <v>149.30000000000001</v>
      </c>
      <c r="G21" s="115">
        <v>145.1</v>
      </c>
      <c r="H21" s="55">
        <v>145.1</v>
      </c>
      <c r="I21" s="35"/>
    </row>
    <row r="22" spans="1:9" s="31" customFormat="1" ht="18" customHeight="1" x14ac:dyDescent="0.2">
      <c r="A22" s="121"/>
      <c r="B22" s="122" t="s">
        <v>41</v>
      </c>
      <c r="C22" s="114">
        <v>127.3</v>
      </c>
      <c r="D22" s="55">
        <v>136.19999999999999</v>
      </c>
      <c r="E22" s="114">
        <v>151.9</v>
      </c>
      <c r="F22" s="55">
        <v>153.30000000000001</v>
      </c>
      <c r="G22" s="115">
        <v>155.4</v>
      </c>
      <c r="H22" s="55">
        <v>155.4</v>
      </c>
      <c r="I22" s="35"/>
    </row>
    <row r="23" spans="1:9" s="31" customFormat="1" ht="18" customHeight="1" x14ac:dyDescent="0.2">
      <c r="A23" s="121"/>
      <c r="B23" s="122" t="s">
        <v>121</v>
      </c>
      <c r="C23" s="114">
        <v>120.9</v>
      </c>
      <c r="D23" s="55">
        <v>118</v>
      </c>
      <c r="E23" s="114">
        <v>151.30000000000001</v>
      </c>
      <c r="F23" s="55">
        <v>155.19999999999999</v>
      </c>
      <c r="G23" s="115">
        <v>168.3</v>
      </c>
      <c r="H23" s="55">
        <v>168.3</v>
      </c>
      <c r="I23" s="35"/>
    </row>
    <row r="24" spans="1:9" s="31" customFormat="1" ht="18" customHeight="1" x14ac:dyDescent="0.2">
      <c r="A24" s="121"/>
      <c r="B24" s="122" t="s">
        <v>82</v>
      </c>
      <c r="C24" s="114">
        <v>135.30000000000001</v>
      </c>
      <c r="D24" s="55">
        <v>130.4</v>
      </c>
      <c r="E24" s="114">
        <v>154.19999999999999</v>
      </c>
      <c r="F24" s="55">
        <v>151.69999999999999</v>
      </c>
      <c r="G24" s="115">
        <v>190.8</v>
      </c>
      <c r="H24" s="55">
        <v>190.8</v>
      </c>
      <c r="I24" s="35"/>
    </row>
    <row r="25" spans="1:9" s="31" customFormat="1" ht="18" customHeight="1" x14ac:dyDescent="0.2">
      <c r="A25" s="121"/>
      <c r="B25" s="122"/>
      <c r="C25" s="114"/>
      <c r="D25" s="55"/>
      <c r="E25" s="114"/>
      <c r="F25" s="55"/>
      <c r="G25" s="115"/>
      <c r="H25" s="55"/>
      <c r="I25" s="35"/>
    </row>
    <row r="26" spans="1:9" s="31" customFormat="1" ht="18" customHeight="1" x14ac:dyDescent="0.2">
      <c r="A26" s="121">
        <v>2022</v>
      </c>
      <c r="B26" s="122" t="s">
        <v>120</v>
      </c>
      <c r="C26" s="114">
        <v>142.6</v>
      </c>
      <c r="D26" s="55">
        <v>143.30000000000001</v>
      </c>
      <c r="E26" s="114">
        <v>156.80000000000001</v>
      </c>
      <c r="F26" s="55">
        <v>154.4</v>
      </c>
      <c r="G26" s="115">
        <v>183.3</v>
      </c>
      <c r="H26" s="55">
        <v>183.3</v>
      </c>
      <c r="I26" s="35"/>
    </row>
    <row r="27" spans="1:9" s="31" customFormat="1" ht="18" customHeight="1" x14ac:dyDescent="0.2">
      <c r="A27" s="121"/>
      <c r="B27" s="122" t="s">
        <v>122</v>
      </c>
      <c r="C27" s="114">
        <v>163.9</v>
      </c>
      <c r="D27" s="55">
        <v>175.1</v>
      </c>
      <c r="E27" s="114">
        <v>179.3</v>
      </c>
      <c r="F27" s="55">
        <v>180.9</v>
      </c>
      <c r="G27" s="115">
        <v>196.7</v>
      </c>
      <c r="H27" s="55">
        <v>196.7</v>
      </c>
      <c r="I27" s="35"/>
    </row>
    <row r="28" spans="1:9" s="31" customFormat="1" ht="18" customHeight="1" x14ac:dyDescent="0.2">
      <c r="A28" s="121"/>
      <c r="B28" s="122" t="s">
        <v>121</v>
      </c>
      <c r="C28" s="114">
        <v>173.6</v>
      </c>
      <c r="D28" s="55">
        <v>169.3</v>
      </c>
      <c r="E28" s="114">
        <v>184.2</v>
      </c>
      <c r="F28" s="55">
        <v>189.5</v>
      </c>
      <c r="G28" s="115">
        <v>205.2</v>
      </c>
      <c r="H28" s="55">
        <v>205.2</v>
      </c>
      <c r="I28" s="35"/>
    </row>
    <row r="29" spans="1:9" s="31" customFormat="1" ht="18" customHeight="1" x14ac:dyDescent="0.2">
      <c r="A29" s="121"/>
      <c r="B29" s="122" t="s">
        <v>123</v>
      </c>
      <c r="C29" s="114">
        <v>179.9</v>
      </c>
      <c r="D29" s="55">
        <v>173.2</v>
      </c>
      <c r="E29" s="114">
        <v>185.4</v>
      </c>
      <c r="F29" s="55">
        <v>182.4</v>
      </c>
      <c r="G29" s="115">
        <v>207.9</v>
      </c>
      <c r="H29" s="55">
        <v>207.9</v>
      </c>
      <c r="I29" s="35"/>
    </row>
    <row r="30" spans="1:9" s="31" customFormat="1" ht="18" customHeight="1" x14ac:dyDescent="0.2">
      <c r="A30" s="121"/>
      <c r="B30" s="122"/>
      <c r="C30" s="114"/>
      <c r="D30" s="55"/>
      <c r="E30" s="114"/>
      <c r="F30" s="55"/>
      <c r="G30" s="115"/>
      <c r="H30" s="55"/>
      <c r="I30" s="35"/>
    </row>
    <row r="31" spans="1:9" s="31" customFormat="1" ht="18" customHeight="1" x14ac:dyDescent="0.2">
      <c r="A31" s="121">
        <v>2023</v>
      </c>
      <c r="B31" s="122" t="s">
        <v>124</v>
      </c>
      <c r="C31" s="114">
        <v>175.3</v>
      </c>
      <c r="D31" s="55">
        <v>176</v>
      </c>
      <c r="E31" s="114">
        <v>186.3</v>
      </c>
      <c r="F31" s="55">
        <v>183.4</v>
      </c>
      <c r="G31" s="115">
        <v>202.2</v>
      </c>
      <c r="H31" s="55">
        <v>202.2</v>
      </c>
      <c r="I31" s="35"/>
    </row>
    <row r="32" spans="1:9" s="31" customFormat="1" ht="18" customHeight="1" thickBot="1" x14ac:dyDescent="0.25">
      <c r="A32" s="121"/>
      <c r="B32" s="122"/>
      <c r="C32" s="114"/>
      <c r="D32" s="55"/>
      <c r="E32" s="114"/>
      <c r="F32" s="55"/>
      <c r="G32" s="139"/>
      <c r="H32" s="133"/>
    </row>
    <row r="33" spans="1:8" s="31" customFormat="1" ht="31.5" customHeight="1" x14ac:dyDescent="0.2">
      <c r="A33" s="168" t="s">
        <v>47</v>
      </c>
      <c r="B33" s="168"/>
      <c r="C33" s="168"/>
      <c r="D33" s="168"/>
      <c r="E33" s="168"/>
      <c r="F33" s="168"/>
      <c r="G33" s="168"/>
      <c r="H33" s="168"/>
    </row>
    <row r="34" spans="1:8" s="31" customFormat="1" ht="18" customHeight="1" x14ac:dyDescent="0.2">
      <c r="A34" s="121">
        <v>2020</v>
      </c>
      <c r="B34" s="122" t="s">
        <v>20</v>
      </c>
      <c r="C34" s="114">
        <v>1.1000000000000001</v>
      </c>
      <c r="D34" s="78"/>
      <c r="E34" s="114">
        <v>6</v>
      </c>
      <c r="F34" s="78"/>
      <c r="G34" s="114">
        <v>7.3</v>
      </c>
      <c r="H34" s="78"/>
    </row>
    <row r="35" spans="1:8" s="31" customFormat="1" ht="18" customHeight="1" x14ac:dyDescent="0.2">
      <c r="A35" s="121"/>
      <c r="B35" s="122" t="s">
        <v>3</v>
      </c>
      <c r="C35" s="114">
        <v>-34.1</v>
      </c>
      <c r="D35" s="78"/>
      <c r="E35" s="114">
        <v>5.9</v>
      </c>
      <c r="F35" s="78"/>
      <c r="G35" s="114">
        <v>8.5</v>
      </c>
      <c r="H35" s="78"/>
    </row>
    <row r="36" spans="1:8" s="31" customFormat="1" ht="18" customHeight="1" x14ac:dyDescent="0.2">
      <c r="A36" s="121"/>
      <c r="B36" s="122" t="s">
        <v>4</v>
      </c>
      <c r="C36" s="114">
        <v>-6.9</v>
      </c>
      <c r="D36" s="78"/>
      <c r="E36" s="114">
        <v>9.1</v>
      </c>
      <c r="F36" s="78"/>
      <c r="G36" s="114">
        <v>9.1999999999999993</v>
      </c>
      <c r="H36" s="78"/>
    </row>
    <row r="37" spans="1:8" s="31" customFormat="1" ht="18" customHeight="1" x14ac:dyDescent="0.2">
      <c r="A37" s="121"/>
      <c r="B37" s="122" t="s">
        <v>125</v>
      </c>
      <c r="C37" s="114">
        <v>-7.8</v>
      </c>
      <c r="D37" s="78"/>
      <c r="E37" s="114">
        <v>3.1</v>
      </c>
      <c r="F37" s="78"/>
      <c r="G37" s="114">
        <v>10</v>
      </c>
      <c r="H37" s="78"/>
    </row>
    <row r="38" spans="1:8" s="31" customFormat="1" ht="18" customHeight="1" x14ac:dyDescent="0.2">
      <c r="A38" s="121"/>
      <c r="B38" s="122"/>
      <c r="C38" s="114"/>
      <c r="D38" s="78"/>
      <c r="E38" s="114"/>
      <c r="F38" s="78"/>
      <c r="G38" s="114"/>
      <c r="H38" s="78"/>
    </row>
    <row r="39" spans="1:8" s="31" customFormat="1" ht="18" customHeight="1" x14ac:dyDescent="0.2">
      <c r="A39" s="121">
        <v>2021</v>
      </c>
      <c r="B39" s="122" t="s">
        <v>120</v>
      </c>
      <c r="C39" s="114">
        <v>-2.2999999999999998</v>
      </c>
      <c r="D39" s="78"/>
      <c r="E39" s="114">
        <v>4.5999999999999996</v>
      </c>
      <c r="F39" s="78"/>
      <c r="G39" s="114">
        <v>8.1999999999999993</v>
      </c>
      <c r="H39" s="78"/>
    </row>
    <row r="40" spans="1:8" s="31" customFormat="1" ht="18" customHeight="1" x14ac:dyDescent="0.2">
      <c r="A40" s="121"/>
      <c r="B40" s="122" t="s">
        <v>41</v>
      </c>
      <c r="C40" s="114">
        <v>36.299999999999997</v>
      </c>
      <c r="D40" s="78"/>
      <c r="E40" s="114">
        <v>7.9</v>
      </c>
      <c r="F40" s="78"/>
      <c r="G40" s="114">
        <v>16.399999999999999</v>
      </c>
      <c r="H40" s="78"/>
    </row>
    <row r="41" spans="1:8" s="31" customFormat="1" ht="18" customHeight="1" x14ac:dyDescent="0.2">
      <c r="A41" s="121"/>
      <c r="B41" s="122" t="s">
        <v>121</v>
      </c>
      <c r="C41" s="114">
        <v>-12.6</v>
      </c>
      <c r="D41" s="78"/>
      <c r="E41" s="114">
        <v>5.5</v>
      </c>
      <c r="F41" s="78"/>
      <c r="G41" s="114">
        <v>19.7</v>
      </c>
      <c r="H41" s="78"/>
    </row>
    <row r="42" spans="1:8" s="31" customFormat="1" ht="18" customHeight="1" x14ac:dyDescent="0.2">
      <c r="A42" s="121"/>
      <c r="B42" s="122" t="s">
        <v>82</v>
      </c>
      <c r="C42" s="114">
        <v>-2.2000000000000002</v>
      </c>
      <c r="D42" s="78"/>
      <c r="E42" s="114">
        <v>5.9</v>
      </c>
      <c r="F42" s="78"/>
      <c r="G42" s="114">
        <v>23.9</v>
      </c>
      <c r="H42" s="78"/>
    </row>
    <row r="43" spans="1:8" s="31" customFormat="1" ht="18" customHeight="1" x14ac:dyDescent="0.2">
      <c r="A43" s="121"/>
      <c r="B43" s="122"/>
      <c r="C43" s="114"/>
      <c r="D43" s="78"/>
      <c r="E43" s="114"/>
      <c r="F43" s="78"/>
      <c r="G43" s="114"/>
      <c r="H43" s="78"/>
    </row>
    <row r="44" spans="1:8" s="31" customFormat="1" ht="18" customHeight="1" x14ac:dyDescent="0.2">
      <c r="A44" s="121">
        <v>2022</v>
      </c>
      <c r="B44" s="122" t="s">
        <v>120</v>
      </c>
      <c r="C44" s="114">
        <v>3.2</v>
      </c>
      <c r="D44" s="78"/>
      <c r="E44" s="114">
        <v>5.6</v>
      </c>
      <c r="F44" s="78"/>
      <c r="G44" s="114">
        <v>26.3</v>
      </c>
      <c r="H44" s="78"/>
    </row>
    <row r="45" spans="1:8" s="31" customFormat="1" ht="18" customHeight="1" x14ac:dyDescent="0.2">
      <c r="A45" s="121"/>
      <c r="B45" s="122" t="s">
        <v>122</v>
      </c>
      <c r="C45" s="114">
        <v>28.7</v>
      </c>
      <c r="D45" s="78"/>
      <c r="E45" s="114">
        <v>18.100000000000001</v>
      </c>
      <c r="F45" s="78"/>
      <c r="G45" s="114">
        <v>26.6</v>
      </c>
      <c r="H45" s="78"/>
    </row>
    <row r="46" spans="1:8" s="31" customFormat="1" ht="18" customHeight="1" x14ac:dyDescent="0.2">
      <c r="A46" s="121"/>
      <c r="B46" s="122" t="s">
        <v>121</v>
      </c>
      <c r="C46" s="114">
        <v>43.6</v>
      </c>
      <c r="D46" s="78"/>
      <c r="E46" s="114">
        <v>21.7</v>
      </c>
      <c r="F46" s="78"/>
      <c r="G46" s="114">
        <v>21.9</v>
      </c>
      <c r="H46" s="78"/>
    </row>
    <row r="47" spans="1:8" s="31" customFormat="1" ht="18" customHeight="1" x14ac:dyDescent="0.2">
      <c r="A47" s="121"/>
      <c r="B47" s="122" t="s">
        <v>123</v>
      </c>
      <c r="C47" s="114">
        <v>32.9</v>
      </c>
      <c r="D47" s="78"/>
      <c r="E47" s="114">
        <v>20.3</v>
      </c>
      <c r="F47" s="78"/>
      <c r="G47" s="114">
        <v>9</v>
      </c>
      <c r="H47" s="78"/>
    </row>
    <row r="48" spans="1:8" s="31" customFormat="1" ht="18" customHeight="1" x14ac:dyDescent="0.2">
      <c r="A48" s="121"/>
      <c r="B48" s="122"/>
      <c r="C48" s="114"/>
      <c r="D48" s="78"/>
      <c r="E48" s="114"/>
      <c r="F48" s="78"/>
      <c r="G48" s="114"/>
      <c r="H48" s="78"/>
    </row>
    <row r="49" spans="1:9" s="31" customFormat="1" ht="18" customHeight="1" x14ac:dyDescent="0.2">
      <c r="A49" s="121">
        <v>2023</v>
      </c>
      <c r="B49" s="122" t="s">
        <v>124</v>
      </c>
      <c r="C49" s="114">
        <v>22.9</v>
      </c>
      <c r="D49" s="78"/>
      <c r="E49" s="114">
        <v>18.8</v>
      </c>
      <c r="F49" s="78"/>
      <c r="G49" s="114">
        <v>10.3</v>
      </c>
      <c r="H49" s="78"/>
    </row>
    <row r="50" spans="1:9" s="31" customFormat="1" ht="18" customHeight="1" thickBot="1" x14ac:dyDescent="0.25">
      <c r="A50" s="121"/>
      <c r="B50" s="122"/>
      <c r="C50" s="116"/>
      <c r="D50" s="79"/>
      <c r="E50" s="116"/>
      <c r="F50" s="79"/>
      <c r="G50" s="116"/>
      <c r="H50" s="79"/>
    </row>
    <row r="51" spans="1:9" s="31" customFormat="1" ht="30" customHeight="1" x14ac:dyDescent="0.2">
      <c r="A51" s="168" t="s">
        <v>49</v>
      </c>
      <c r="B51" s="168"/>
      <c r="C51" s="168"/>
      <c r="D51" s="168"/>
      <c r="E51" s="168"/>
      <c r="F51" s="168"/>
      <c r="G51" s="169"/>
      <c r="H51" s="169"/>
    </row>
    <row r="52" spans="1:9" s="31" customFormat="1" ht="18" customHeight="1" x14ac:dyDescent="0.2">
      <c r="A52" s="121">
        <v>2020</v>
      </c>
      <c r="B52" s="122" t="s">
        <v>20</v>
      </c>
      <c r="C52" s="114">
        <v>-5.7</v>
      </c>
      <c r="D52" s="78">
        <v>-2.6</v>
      </c>
      <c r="E52" s="115">
        <v>0.5</v>
      </c>
      <c r="F52" s="55">
        <v>0.6</v>
      </c>
      <c r="G52" s="118">
        <v>-4.0999999999999996</v>
      </c>
      <c r="H52" s="78">
        <v>-4.0999999999999996</v>
      </c>
      <c r="I52" s="90"/>
    </row>
    <row r="53" spans="1:9" s="31" customFormat="1" ht="18" customHeight="1" x14ac:dyDescent="0.2">
      <c r="A53" s="121"/>
      <c r="B53" s="122" t="s">
        <v>3</v>
      </c>
      <c r="C53" s="114">
        <v>-34</v>
      </c>
      <c r="D53" s="78">
        <v>-30.8</v>
      </c>
      <c r="E53" s="115">
        <v>-0.9</v>
      </c>
      <c r="F53" s="55">
        <v>1.3</v>
      </c>
      <c r="G53" s="118">
        <v>-0.6</v>
      </c>
      <c r="H53" s="78">
        <v>-0.6</v>
      </c>
      <c r="I53" s="90"/>
    </row>
    <row r="54" spans="1:9" s="31" customFormat="1" ht="18" customHeight="1" x14ac:dyDescent="0.2">
      <c r="A54" s="121"/>
      <c r="B54" s="122" t="s">
        <v>4</v>
      </c>
      <c r="C54" s="114">
        <v>48</v>
      </c>
      <c r="D54" s="78">
        <v>38</v>
      </c>
      <c r="E54" s="115">
        <v>1.9</v>
      </c>
      <c r="F54" s="55">
        <v>4</v>
      </c>
      <c r="G54" s="118">
        <v>5.4</v>
      </c>
      <c r="H54" s="78">
        <v>5.4</v>
      </c>
      <c r="I54" s="90"/>
    </row>
    <row r="55" spans="1:9" s="31" customFormat="1" ht="18" customHeight="1" x14ac:dyDescent="0.2">
      <c r="A55" s="121"/>
      <c r="B55" s="122" t="s">
        <v>125</v>
      </c>
      <c r="C55" s="114">
        <v>0.1</v>
      </c>
      <c r="D55" s="78">
        <v>-1.2</v>
      </c>
      <c r="E55" s="115">
        <v>1.5</v>
      </c>
      <c r="F55" s="55">
        <v>-2.6</v>
      </c>
      <c r="G55" s="118">
        <v>9.4</v>
      </c>
      <c r="H55" s="78">
        <v>9.4</v>
      </c>
      <c r="I55" s="90"/>
    </row>
    <row r="56" spans="1:9" s="31" customFormat="1" ht="18" customHeight="1" x14ac:dyDescent="0.2">
      <c r="A56" s="121"/>
      <c r="B56" s="122"/>
      <c r="C56" s="114"/>
      <c r="D56" s="78"/>
      <c r="E56" s="115"/>
      <c r="F56" s="55"/>
      <c r="G56" s="118"/>
      <c r="H56" s="78"/>
      <c r="I56" s="90"/>
    </row>
    <row r="57" spans="1:9" s="31" customFormat="1" ht="18" customHeight="1" x14ac:dyDescent="0.2">
      <c r="A57" s="121">
        <v>2021</v>
      </c>
      <c r="B57" s="122" t="s">
        <v>120</v>
      </c>
      <c r="C57" s="114">
        <v>-0.1</v>
      </c>
      <c r="D57" s="78">
        <v>3.9</v>
      </c>
      <c r="E57" s="115">
        <v>2</v>
      </c>
      <c r="F57" s="55">
        <v>4.2</v>
      </c>
      <c r="G57" s="118">
        <v>-5.7</v>
      </c>
      <c r="H57" s="78">
        <v>-5.7</v>
      </c>
      <c r="I57" s="90"/>
    </row>
    <row r="58" spans="1:9" s="31" customFormat="1" ht="18" customHeight="1" x14ac:dyDescent="0.2">
      <c r="A58" s="121"/>
      <c r="B58" s="122" t="s">
        <v>41</v>
      </c>
      <c r="C58" s="114">
        <v>-7.8</v>
      </c>
      <c r="D58" s="78">
        <v>-1.8</v>
      </c>
      <c r="E58" s="115">
        <v>2.2999999999999998</v>
      </c>
      <c r="F58" s="55">
        <v>2.6</v>
      </c>
      <c r="G58" s="118">
        <v>7</v>
      </c>
      <c r="H58" s="78">
        <v>7</v>
      </c>
      <c r="I58" s="90"/>
    </row>
    <row r="59" spans="1:9" s="31" customFormat="1" ht="18" customHeight="1" x14ac:dyDescent="0.2">
      <c r="A59" s="121"/>
      <c r="B59" s="122" t="s">
        <v>121</v>
      </c>
      <c r="C59" s="114">
        <v>-5.0999999999999996</v>
      </c>
      <c r="D59" s="78">
        <v>-13.4</v>
      </c>
      <c r="E59" s="115">
        <v>-0.4</v>
      </c>
      <c r="F59" s="55">
        <v>1.3</v>
      </c>
      <c r="G59" s="118">
        <v>8.3000000000000007</v>
      </c>
      <c r="H59" s="78">
        <v>8.3000000000000007</v>
      </c>
      <c r="I59" s="90"/>
    </row>
    <row r="60" spans="1:9" s="31" customFormat="1" ht="18" customHeight="1" x14ac:dyDescent="0.2">
      <c r="A60" s="121"/>
      <c r="B60" s="122" t="s">
        <v>82</v>
      </c>
      <c r="C60" s="114">
        <v>12</v>
      </c>
      <c r="D60" s="78">
        <v>10.5</v>
      </c>
      <c r="E60" s="115">
        <v>1.9</v>
      </c>
      <c r="F60" s="55">
        <v>-2.2000000000000002</v>
      </c>
      <c r="G60" s="118">
        <v>13.3</v>
      </c>
      <c r="H60" s="78">
        <v>13.3</v>
      </c>
      <c r="I60" s="90"/>
    </row>
    <row r="61" spans="1:9" s="31" customFormat="1" ht="18" customHeight="1" x14ac:dyDescent="0.2">
      <c r="A61" s="121"/>
      <c r="B61" s="122"/>
      <c r="C61" s="114"/>
      <c r="D61" s="78"/>
      <c r="E61" s="115"/>
      <c r="F61" s="55"/>
      <c r="G61" s="118"/>
      <c r="H61" s="78"/>
      <c r="I61" s="90"/>
    </row>
    <row r="62" spans="1:9" s="31" customFormat="1" ht="18" customHeight="1" x14ac:dyDescent="0.2">
      <c r="A62" s="121">
        <v>2022</v>
      </c>
      <c r="B62" s="122" t="s">
        <v>120</v>
      </c>
      <c r="C62" s="114">
        <v>5.3</v>
      </c>
      <c r="D62" s="78">
        <v>9.9</v>
      </c>
      <c r="E62" s="115">
        <v>1.7</v>
      </c>
      <c r="F62" s="55">
        <v>1.8</v>
      </c>
      <c r="G62" s="118">
        <v>-3.9</v>
      </c>
      <c r="H62" s="78">
        <v>-3.9</v>
      </c>
      <c r="I62" s="90"/>
    </row>
    <row r="63" spans="1:9" s="31" customFormat="1" ht="18" customHeight="1" x14ac:dyDescent="0.2">
      <c r="A63" s="121"/>
      <c r="B63" s="122" t="s">
        <v>122</v>
      </c>
      <c r="C63" s="114">
        <v>15</v>
      </c>
      <c r="D63" s="78">
        <v>22.2</v>
      </c>
      <c r="E63" s="115">
        <v>14.4</v>
      </c>
      <c r="F63" s="55">
        <v>17.2</v>
      </c>
      <c r="G63" s="118">
        <v>7.3</v>
      </c>
      <c r="H63" s="78">
        <v>7.3</v>
      </c>
      <c r="I63" s="90"/>
    </row>
    <row r="64" spans="1:9" s="31" customFormat="1" ht="18" customHeight="1" x14ac:dyDescent="0.2">
      <c r="A64" s="121"/>
      <c r="B64" s="122" t="s">
        <v>121</v>
      </c>
      <c r="C64" s="114">
        <v>5.9</v>
      </c>
      <c r="D64" s="78">
        <v>-3.4</v>
      </c>
      <c r="E64" s="115">
        <v>2.7</v>
      </c>
      <c r="F64" s="55">
        <v>4.8</v>
      </c>
      <c r="G64" s="118">
        <v>4.3</v>
      </c>
      <c r="H64" s="78">
        <v>4.3</v>
      </c>
      <c r="I64" s="90"/>
    </row>
    <row r="65" spans="1:10" s="31" customFormat="1" ht="18" customHeight="1" x14ac:dyDescent="0.2">
      <c r="A65" s="121"/>
      <c r="B65" s="122" t="s">
        <v>123</v>
      </c>
      <c r="C65" s="114">
        <v>3.6</v>
      </c>
      <c r="D65" s="78">
        <v>2.2999999999999998</v>
      </c>
      <c r="E65" s="115">
        <v>0.7</v>
      </c>
      <c r="F65" s="55">
        <v>-3.7</v>
      </c>
      <c r="G65" s="118">
        <v>1.3</v>
      </c>
      <c r="H65" s="78">
        <v>1.3</v>
      </c>
      <c r="I65" s="90"/>
    </row>
    <row r="66" spans="1:10" s="31" customFormat="1" ht="18" customHeight="1" x14ac:dyDescent="0.2">
      <c r="A66" s="121"/>
      <c r="B66" s="122"/>
      <c r="C66" s="114"/>
      <c r="D66" s="78"/>
      <c r="E66" s="115"/>
      <c r="F66" s="55"/>
      <c r="G66" s="118"/>
      <c r="H66" s="78"/>
      <c r="I66" s="90"/>
    </row>
    <row r="67" spans="1:10" s="31" customFormat="1" ht="18" customHeight="1" x14ac:dyDescent="0.2">
      <c r="A67" s="121">
        <v>2023</v>
      </c>
      <c r="B67" s="122" t="s">
        <v>124</v>
      </c>
      <c r="C67" s="114">
        <v>-2.6</v>
      </c>
      <c r="D67" s="78">
        <v>1.6</v>
      </c>
      <c r="E67" s="115">
        <v>0.5</v>
      </c>
      <c r="F67" s="55">
        <v>0.5</v>
      </c>
      <c r="G67" s="118">
        <v>-2.7</v>
      </c>
      <c r="H67" s="78">
        <v>-2.7</v>
      </c>
      <c r="I67" s="90"/>
    </row>
    <row r="68" spans="1:10" s="31" customFormat="1" ht="18" customHeight="1" thickBot="1" x14ac:dyDescent="0.25">
      <c r="A68" s="121"/>
      <c r="B68" s="122"/>
      <c r="C68" s="114"/>
      <c r="D68" s="78"/>
      <c r="E68" s="115"/>
      <c r="F68" s="55"/>
      <c r="G68" s="139"/>
      <c r="H68" s="79"/>
    </row>
    <row r="69" spans="1:10" s="31" customFormat="1" ht="0.75" customHeight="1" thickBot="1" x14ac:dyDescent="0.25">
      <c r="B69" s="36"/>
      <c r="C69" s="67"/>
      <c r="D69" s="68"/>
      <c r="E69" s="67"/>
      <c r="F69" s="68"/>
      <c r="G69" s="70"/>
      <c r="H69" s="74"/>
    </row>
    <row r="70" spans="1:10" s="59" customFormat="1" ht="51.75" customHeight="1" thickBot="1" x14ac:dyDescent="0.3">
      <c r="A70" s="162" t="s">
        <v>30</v>
      </c>
      <c r="B70" s="191"/>
      <c r="C70" s="192" t="s">
        <v>137</v>
      </c>
      <c r="D70" s="192"/>
      <c r="E70" s="192" t="s">
        <v>138</v>
      </c>
      <c r="F70" s="192"/>
      <c r="G70" s="162" t="s">
        <v>139</v>
      </c>
      <c r="H70" s="191"/>
    </row>
    <row r="71" spans="1:10" ht="16.5" hidden="1" customHeight="1" x14ac:dyDescent="0.2">
      <c r="A71" s="18" t="s">
        <v>48</v>
      </c>
      <c r="B71" s="15"/>
      <c r="C71" s="13"/>
      <c r="D71" s="13"/>
      <c r="E71" s="13"/>
      <c r="F71" s="13"/>
      <c r="G71" s="13"/>
      <c r="H71" s="13"/>
    </row>
    <row r="72" spans="1:10" ht="21.95" customHeight="1" x14ac:dyDescent="0.2">
      <c r="A72" s="13" t="s">
        <v>44</v>
      </c>
      <c r="B72" s="15"/>
      <c r="C72" s="13"/>
      <c r="D72" s="13"/>
      <c r="E72" s="13"/>
      <c r="F72" s="13"/>
      <c r="G72" s="13"/>
      <c r="H72" s="13"/>
    </row>
    <row r="73" spans="1:10" ht="16.5" x14ac:dyDescent="0.2">
      <c r="A73" s="24" t="s">
        <v>143</v>
      </c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41.25" customHeight="1" x14ac:dyDescent="0.2">
      <c r="A74" s="174" t="s">
        <v>52</v>
      </c>
      <c r="B74" s="174"/>
      <c r="C74" s="174"/>
      <c r="D74" s="174"/>
      <c r="E74" s="174"/>
      <c r="F74" s="174"/>
      <c r="G74" s="174"/>
      <c r="H74" s="174"/>
    </row>
    <row r="75" spans="1:10" ht="15" x14ac:dyDescent="0.2">
      <c r="A75" s="64"/>
      <c r="B75" s="6"/>
      <c r="C75" s="5"/>
      <c r="D75" s="5"/>
      <c r="E75" s="5"/>
      <c r="F75" s="5"/>
      <c r="G75" s="5"/>
      <c r="H75" s="5"/>
      <c r="I75" s="34"/>
    </row>
    <row r="76" spans="1:10" x14ac:dyDescent="0.2">
      <c r="A76" s="26"/>
      <c r="B76" s="26"/>
      <c r="C76" s="26"/>
      <c r="D76" s="26"/>
      <c r="E76" s="26"/>
      <c r="F76" s="26"/>
      <c r="G76" s="26"/>
      <c r="H76" s="26"/>
    </row>
    <row r="77" spans="1:10" ht="15" x14ac:dyDescent="0.2">
      <c r="A77" s="34"/>
      <c r="B77" s="34"/>
      <c r="C77" s="34"/>
      <c r="D77" s="34"/>
      <c r="E77" s="34"/>
      <c r="F77" s="34"/>
    </row>
    <row r="80" spans="1:10" x14ac:dyDescent="0.2">
      <c r="G80" s="66"/>
      <c r="H80" s="66"/>
    </row>
    <row r="82" spans="1:6" x14ac:dyDescent="0.2">
      <c r="A82" s="66"/>
      <c r="B82" s="66"/>
      <c r="C82" s="66"/>
      <c r="D82" s="66"/>
      <c r="E82" s="66"/>
      <c r="F82" s="66"/>
    </row>
  </sheetData>
  <sheetProtection algorithmName="SHA-512" hashValue="FyaCJKNk/KWJMlcm9dqrA/M338uF64FB1YeqHtLrJkyEcgrJNHS9vP8Mq0AUkQIz7NhOsFomizZmAPu/Po1DAQ==" saltValue="3FcM0+n2VmUlEaKJCEtKlw==" spinCount="100000" sheet="1" objects="1" scenarios="1"/>
  <mergeCells count="28">
    <mergeCell ref="C10:C11"/>
    <mergeCell ref="A5:H5"/>
    <mergeCell ref="A8:B11"/>
    <mergeCell ref="C8:D8"/>
    <mergeCell ref="E8:F8"/>
    <mergeCell ref="G8:H8"/>
    <mergeCell ref="C70:D70"/>
    <mergeCell ref="A33:H33"/>
    <mergeCell ref="A51:H51"/>
    <mergeCell ref="E70:F70"/>
    <mergeCell ref="A12:B12"/>
    <mergeCell ref="C12:D12"/>
    <mergeCell ref="A74:H74"/>
    <mergeCell ref="A3:H3"/>
    <mergeCell ref="A4:H4"/>
    <mergeCell ref="G9:H9"/>
    <mergeCell ref="D10:D11"/>
    <mergeCell ref="C9:D9"/>
    <mergeCell ref="G12:H12"/>
    <mergeCell ref="E12:F12"/>
    <mergeCell ref="E9:F9"/>
    <mergeCell ref="H10:H11"/>
    <mergeCell ref="E10:E11"/>
    <mergeCell ref="F10:F11"/>
    <mergeCell ref="G10:G11"/>
    <mergeCell ref="G70:H70"/>
    <mergeCell ref="A14:B14"/>
    <mergeCell ref="A70:B70"/>
  </mergeCells>
  <printOptions horizontalCentered="1"/>
  <pageMargins left="0" right="0" top="0.15748031496062992" bottom="0" header="0.31496062992125984" footer="0.31496062992125984"/>
  <pageSetup paperSize="9" scale="56" fitToWidth="0" orientation="portrait" r:id="rId1"/>
  <headerFooter scaleWithDoc="0" alignWithMargins="0">
    <oddFooter>&amp;C&amp;"Arial,Regular"&amp;10 20</oddFooter>
  </headerFooter>
  <rowBreaks count="1" manualBreakCount="1">
    <brk id="74" max="7" man="1"/>
  </rowBreaks>
  <colBreaks count="1" manualBreakCount="1">
    <brk id="8" max="1048575" man="1"/>
  </colBreaks>
  <customProperties>
    <customPr name="DVSECTION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A1:IV73"/>
  <sheetViews>
    <sheetView workbookViewId="0">
      <selection activeCell="DJ73" sqref="DJ73"/>
    </sheetView>
  </sheetViews>
  <sheetFormatPr defaultRowHeight="15" x14ac:dyDescent="0.25"/>
  <sheetData>
    <row r="1" spans="1:256" x14ac:dyDescent="0.25">
      <c r="A1" t="e">
        <f>IF(#REF!,"AAAAAG+5fwA=",0)</f>
        <v>#REF!</v>
      </c>
      <c r="B1" t="e">
        <f>AND(#REF!,"AAAAAG+5fwE=")</f>
        <v>#REF!</v>
      </c>
      <c r="C1" t="e">
        <f>AND(#REF!,"AAAAAG+5fwI=")</f>
        <v>#REF!</v>
      </c>
      <c r="D1" t="e">
        <f>IF(#REF!,"AAAAAG+5fwM=",0)</f>
        <v>#REF!</v>
      </c>
      <c r="E1" t="e">
        <f>AND(#REF!,"AAAAAG+5fwQ=")</f>
        <v>#REF!</v>
      </c>
      <c r="F1" t="e">
        <f>AND(#REF!,"AAAAAG+5fwU=")</f>
        <v>#REF!</v>
      </c>
      <c r="G1" t="e">
        <f>IF(#REF!,"AAAAAG+5fwY=",0)</f>
        <v>#REF!</v>
      </c>
      <c r="H1" t="e">
        <f>AND(#REF!,"AAAAAG+5fwc=")</f>
        <v>#REF!</v>
      </c>
      <c r="I1" t="e">
        <f>AND(#REF!,"AAAAAG+5fwg=")</f>
        <v>#REF!</v>
      </c>
      <c r="J1" t="e">
        <f>IF(#REF!,"AAAAAG+5fwk=",0)</f>
        <v>#REF!</v>
      </c>
      <c r="K1" t="e">
        <f>AND(#REF!,"AAAAAG+5fwo=")</f>
        <v>#REF!</v>
      </c>
      <c r="L1" t="e">
        <f>AND(#REF!,"AAAAAG+5fws=")</f>
        <v>#REF!</v>
      </c>
      <c r="M1" t="e">
        <f>IF(#REF!,"AAAAAG+5fww=",0)</f>
        <v>#REF!</v>
      </c>
      <c r="N1" t="e">
        <f>AND(#REF!,"AAAAAG+5fw0=")</f>
        <v>#REF!</v>
      </c>
      <c r="O1" t="e">
        <f>AND(#REF!,"AAAAAG+5fw4=")</f>
        <v>#REF!</v>
      </c>
      <c r="P1" t="e">
        <f>IF(#REF!,"AAAAAG+5fw8=",0)</f>
        <v>#REF!</v>
      </c>
      <c r="Q1" t="e">
        <f>AND(#REF!,"AAAAAG+5fxA=")</f>
        <v>#REF!</v>
      </c>
      <c r="R1" t="e">
        <f>AND(#REF!,"AAAAAG+5fxE=")</f>
        <v>#REF!</v>
      </c>
      <c r="S1" t="e">
        <f>IF(#REF!,"AAAAAG+5fxI=",0)</f>
        <v>#REF!</v>
      </c>
      <c r="T1" t="e">
        <f>AND(#REF!,"AAAAAG+5fxM=")</f>
        <v>#REF!</v>
      </c>
      <c r="U1" t="e">
        <f>AND(#REF!,"AAAAAG+5fxQ=")</f>
        <v>#REF!</v>
      </c>
      <c r="V1" t="e">
        <f>IF(#REF!,"AAAAAG+5fxU=",0)</f>
        <v>#REF!</v>
      </c>
      <c r="W1" t="e">
        <f>AND(#REF!,"AAAAAG+5fxY=")</f>
        <v>#REF!</v>
      </c>
      <c r="X1" t="e">
        <f>AND(#REF!,"AAAAAG+5fxc=")</f>
        <v>#REF!</v>
      </c>
      <c r="Y1" t="e">
        <f>IF(#REF!,"AAAAAG+5fxg=",0)</f>
        <v>#REF!</v>
      </c>
      <c r="Z1" t="e">
        <f>AND(#REF!,"AAAAAG+5fxk=")</f>
        <v>#REF!</v>
      </c>
      <c r="AA1" t="e">
        <f>AND(#REF!,"AAAAAG+5fxo=")</f>
        <v>#REF!</v>
      </c>
      <c r="AB1" t="e">
        <f>IF(#REF!,"AAAAAG+5fxs=",0)</f>
        <v>#REF!</v>
      </c>
      <c r="AC1" t="e">
        <f>AND(#REF!,"AAAAAG+5fxw=")</f>
        <v>#REF!</v>
      </c>
      <c r="AD1" t="e">
        <f>AND(#REF!,"AAAAAG+5fx0=")</f>
        <v>#REF!</v>
      </c>
      <c r="AE1" t="e">
        <f>IF(#REF!,"AAAAAG+5fx4=",0)</f>
        <v>#REF!</v>
      </c>
      <c r="AF1" t="e">
        <f>AND(#REF!,"AAAAAG+5fx8=")</f>
        <v>#REF!</v>
      </c>
      <c r="AG1" t="e">
        <f>AND(#REF!,"AAAAAG+5fyA=")</f>
        <v>#REF!</v>
      </c>
      <c r="AH1" t="e">
        <f>IF(#REF!,"AAAAAG+5fyE=",0)</f>
        <v>#REF!</v>
      </c>
      <c r="AI1" t="e">
        <f>AND(#REF!,"AAAAAG+5fyI=")</f>
        <v>#REF!</v>
      </c>
      <c r="AJ1" t="e">
        <f>AND(#REF!,"AAAAAG+5fyM=")</f>
        <v>#REF!</v>
      </c>
      <c r="AK1" t="e">
        <f>IF(#REF!,"AAAAAG+5fyQ=",0)</f>
        <v>#REF!</v>
      </c>
      <c r="AL1" t="e">
        <f>AND(#REF!,"AAAAAG+5fyU=")</f>
        <v>#REF!</v>
      </c>
      <c r="AM1" t="e">
        <f>AND(#REF!,"AAAAAG+5fyY=")</f>
        <v>#REF!</v>
      </c>
      <c r="AN1" t="e">
        <f>IF(#REF!,"AAAAAG+5fyc=",0)</f>
        <v>#REF!</v>
      </c>
      <c r="AO1" t="e">
        <f>AND(#REF!,"AAAAAG+5fyg=")</f>
        <v>#REF!</v>
      </c>
      <c r="AP1" t="e">
        <f>AND(#REF!,"AAAAAG+5fyk=")</f>
        <v>#REF!</v>
      </c>
      <c r="AQ1" t="e">
        <f>IF(#REF!,"AAAAAG+5fyo=",0)</f>
        <v>#REF!</v>
      </c>
      <c r="AR1" t="e">
        <f>AND(#REF!,"AAAAAG+5fys=")</f>
        <v>#REF!</v>
      </c>
      <c r="AS1" t="e">
        <f>AND(#REF!,"AAAAAG+5fyw=")</f>
        <v>#REF!</v>
      </c>
      <c r="AT1" t="e">
        <f>IF(#REF!,"AAAAAG+5fy0=",0)</f>
        <v>#REF!</v>
      </c>
      <c r="AU1" t="e">
        <f>AND(#REF!,"AAAAAG+5fy4=")</f>
        <v>#REF!</v>
      </c>
      <c r="AV1" t="e">
        <f>AND(#REF!,"AAAAAG+5fy8=")</f>
        <v>#REF!</v>
      </c>
      <c r="AW1" t="e">
        <f>IF(#REF!,"AAAAAG+5fzA=",0)</f>
        <v>#REF!</v>
      </c>
      <c r="AX1" t="e">
        <f>AND(#REF!,"AAAAAG+5fzE=")</f>
        <v>#REF!</v>
      </c>
      <c r="AY1" t="e">
        <f>AND(#REF!,"AAAAAG+5fzI=")</f>
        <v>#REF!</v>
      </c>
      <c r="AZ1" t="e">
        <f>IF(#REF!,"AAAAAG+5fzM=",0)</f>
        <v>#REF!</v>
      </c>
      <c r="BA1" t="e">
        <f>AND(#REF!,"AAAAAG+5fzQ=")</f>
        <v>#REF!</v>
      </c>
      <c r="BB1" t="e">
        <f>AND(#REF!,"AAAAAG+5fzU=")</f>
        <v>#REF!</v>
      </c>
      <c r="BC1" t="e">
        <f>IF(#REF!,"AAAAAG+5fzY=",0)</f>
        <v>#REF!</v>
      </c>
      <c r="BD1" t="e">
        <f>AND(#REF!,"AAAAAG+5fzc=")</f>
        <v>#REF!</v>
      </c>
      <c r="BE1" t="e">
        <f>AND(#REF!,"AAAAAG+5fzg=")</f>
        <v>#REF!</v>
      </c>
      <c r="BF1" t="e">
        <f>IF(#REF!,"AAAAAG+5fzk=",0)</f>
        <v>#REF!</v>
      </c>
      <c r="BG1" t="e">
        <f>AND(#REF!,"AAAAAG+5fzo=")</f>
        <v>#REF!</v>
      </c>
      <c r="BH1" t="e">
        <f>AND(#REF!,"AAAAAG+5fzs=")</f>
        <v>#REF!</v>
      </c>
      <c r="BI1" t="e">
        <f>IF(#REF!,"AAAAAG+5fzw=",0)</f>
        <v>#REF!</v>
      </c>
      <c r="BJ1" t="e">
        <f>AND(#REF!,"AAAAAG+5fz0=")</f>
        <v>#REF!</v>
      </c>
      <c r="BK1" t="e">
        <f>AND(#REF!,"AAAAAG+5fz4=")</f>
        <v>#REF!</v>
      </c>
      <c r="BL1" t="e">
        <f>IF(#REF!,"AAAAAG+5fz8=",0)</f>
        <v>#REF!</v>
      </c>
      <c r="BM1" t="e">
        <f>AND(#REF!,"AAAAAG+5f0A=")</f>
        <v>#REF!</v>
      </c>
      <c r="BN1" t="e">
        <f>AND(#REF!,"AAAAAG+5f0E=")</f>
        <v>#REF!</v>
      </c>
      <c r="BO1" t="e">
        <f>IF(#REF!,"AAAAAG+5f0I=",0)</f>
        <v>#REF!</v>
      </c>
      <c r="BP1" t="e">
        <f>AND(#REF!,"AAAAAG+5f0M=")</f>
        <v>#REF!</v>
      </c>
      <c r="BQ1" t="e">
        <f>AND(#REF!,"AAAAAG+5f0Q=")</f>
        <v>#REF!</v>
      </c>
      <c r="BR1" t="e">
        <f>IF(#REF!,"AAAAAG+5f0U=",0)</f>
        <v>#REF!</v>
      </c>
      <c r="BS1" t="e">
        <f>AND(#REF!,"AAAAAG+5f0Y=")</f>
        <v>#REF!</v>
      </c>
      <c r="BT1" t="e">
        <f>AND(#REF!,"AAAAAG+5f0c=")</f>
        <v>#REF!</v>
      </c>
      <c r="BU1" t="e">
        <f>IF(#REF!,"AAAAAG+5f0g=",0)</f>
        <v>#REF!</v>
      </c>
      <c r="BV1" t="e">
        <f>AND(#REF!,"AAAAAG+5f0k=")</f>
        <v>#REF!</v>
      </c>
      <c r="BW1" t="e">
        <f>AND(#REF!,"AAAAAG+5f0o=")</f>
        <v>#REF!</v>
      </c>
      <c r="BX1" t="e">
        <f>IF(#REF!,"AAAAAG+5f0s=",0)</f>
        <v>#REF!</v>
      </c>
      <c r="BY1" t="e">
        <f>AND(#REF!,"AAAAAG+5f0w=")</f>
        <v>#REF!</v>
      </c>
      <c r="BZ1" t="e">
        <f>AND(#REF!,"AAAAAG+5f00=")</f>
        <v>#REF!</v>
      </c>
      <c r="CA1" t="e">
        <f>IF(#REF!,"AAAAAG+5f04=",0)</f>
        <v>#REF!</v>
      </c>
      <c r="CB1" t="e">
        <f>AND(#REF!,"AAAAAG+5f08=")</f>
        <v>#REF!</v>
      </c>
      <c r="CC1" t="e">
        <f>AND(#REF!,"AAAAAG+5f1A=")</f>
        <v>#REF!</v>
      </c>
      <c r="CD1" t="e">
        <f>IF(#REF!,"AAAAAG+5f1E=",0)</f>
        <v>#REF!</v>
      </c>
      <c r="CE1" t="e">
        <f>AND(#REF!,"AAAAAG+5f1I=")</f>
        <v>#REF!</v>
      </c>
      <c r="CF1" t="e">
        <f>AND(#REF!,"AAAAAG+5f1M=")</f>
        <v>#REF!</v>
      </c>
      <c r="CG1" t="e">
        <f>IF(#REF!,"AAAAAG+5f1Q=",0)</f>
        <v>#REF!</v>
      </c>
      <c r="CH1" t="e">
        <f>AND(#REF!,"AAAAAG+5f1U=")</f>
        <v>#REF!</v>
      </c>
      <c r="CI1" t="e">
        <f>AND(#REF!,"AAAAAG+5f1Y=")</f>
        <v>#REF!</v>
      </c>
      <c r="CJ1" t="e">
        <f>IF(#REF!,"AAAAAG+5f1c=",0)</f>
        <v>#REF!</v>
      </c>
      <c r="CK1" t="e">
        <f>AND(#REF!,"AAAAAG+5f1g=")</f>
        <v>#REF!</v>
      </c>
      <c r="CL1" t="e">
        <f>AND(#REF!,"AAAAAG+5f1k=")</f>
        <v>#REF!</v>
      </c>
      <c r="CM1" t="e">
        <f>IF(#REF!,"AAAAAG+5f1o=",0)</f>
        <v>#REF!</v>
      </c>
      <c r="CN1" t="e">
        <f>AND(#REF!,"AAAAAG+5f1s=")</f>
        <v>#REF!</v>
      </c>
      <c r="CO1" t="e">
        <f>AND(#REF!,"AAAAAG+5f1w=")</f>
        <v>#REF!</v>
      </c>
      <c r="CP1" t="e">
        <f>IF(#REF!,"AAAAAG+5f10=",0)</f>
        <v>#REF!</v>
      </c>
      <c r="CQ1" t="e">
        <f>AND(#REF!,"AAAAAG+5f14=")</f>
        <v>#REF!</v>
      </c>
      <c r="CR1" t="e">
        <f>AND(#REF!,"AAAAAG+5f18=")</f>
        <v>#REF!</v>
      </c>
      <c r="CS1" t="e">
        <f>IF(#REF!,"AAAAAG+5f2A=",0)</f>
        <v>#REF!</v>
      </c>
      <c r="CT1" t="e">
        <f>AND(#REF!,"AAAAAG+5f2E=")</f>
        <v>#REF!</v>
      </c>
      <c r="CU1" t="e">
        <f>AND(#REF!,"AAAAAG+5f2I=")</f>
        <v>#REF!</v>
      </c>
      <c r="CV1" t="e">
        <f>IF(#REF!,"AAAAAG+5f2M=",0)</f>
        <v>#REF!</v>
      </c>
      <c r="CW1" t="e">
        <f>AND(#REF!,"AAAAAG+5f2Q=")</f>
        <v>#REF!</v>
      </c>
      <c r="CX1" t="e">
        <f>AND(#REF!,"AAAAAG+5f2U=")</f>
        <v>#REF!</v>
      </c>
      <c r="CY1" t="e">
        <f>IF(#REF!,"AAAAAG+5f2Y=",0)</f>
        <v>#REF!</v>
      </c>
      <c r="CZ1" t="e">
        <f>AND(#REF!,"AAAAAG+5f2c=")</f>
        <v>#REF!</v>
      </c>
      <c r="DA1" t="e">
        <f>AND(#REF!,"AAAAAG+5f2g=")</f>
        <v>#REF!</v>
      </c>
      <c r="DB1" t="e">
        <f>IF(#REF!,"AAAAAG+5f2k=",0)</f>
        <v>#REF!</v>
      </c>
      <c r="DC1" t="e">
        <f>AND(#REF!,"AAAAAG+5f2o=")</f>
        <v>#REF!</v>
      </c>
      <c r="DD1" t="e">
        <f>AND(#REF!,"AAAAAG+5f2s=")</f>
        <v>#REF!</v>
      </c>
      <c r="DE1" t="e">
        <f>IF(#REF!,"AAAAAG+5f2w=",0)</f>
        <v>#REF!</v>
      </c>
      <c r="DF1" t="e">
        <f>AND(#REF!,"AAAAAG+5f20=")</f>
        <v>#REF!</v>
      </c>
      <c r="DG1" t="e">
        <f>AND(#REF!,"AAAAAG+5f24=")</f>
        <v>#REF!</v>
      </c>
      <c r="DH1" t="e">
        <f>IF(#REF!,"AAAAAG+5f28=",0)</f>
        <v>#REF!</v>
      </c>
      <c r="DI1" t="e">
        <f>AND(#REF!,"AAAAAG+5f3A=")</f>
        <v>#REF!</v>
      </c>
      <c r="DJ1" t="e">
        <f>AND(#REF!,"AAAAAG+5f3E=")</f>
        <v>#REF!</v>
      </c>
      <c r="DK1" t="e">
        <f>IF(#REF!,"AAAAAG+5f3I=",0)</f>
        <v>#REF!</v>
      </c>
      <c r="DL1" t="e">
        <f>AND(#REF!,"AAAAAG+5f3M=")</f>
        <v>#REF!</v>
      </c>
      <c r="DM1" t="e">
        <f>AND(#REF!,"AAAAAG+5f3Q=")</f>
        <v>#REF!</v>
      </c>
      <c r="DN1" t="e">
        <f>IF(#REF!,"AAAAAG+5f3U=",0)</f>
        <v>#REF!</v>
      </c>
      <c r="DO1" t="e">
        <f>AND(#REF!,"AAAAAG+5f3Y=")</f>
        <v>#REF!</v>
      </c>
      <c r="DP1" t="e">
        <f>AND(#REF!,"AAAAAG+5f3c=")</f>
        <v>#REF!</v>
      </c>
      <c r="DQ1" t="e">
        <f>IF(#REF!,"AAAAAG+5f3g=",0)</f>
        <v>#REF!</v>
      </c>
      <c r="DR1" t="e">
        <f>AND(#REF!,"AAAAAG+5f3k=")</f>
        <v>#REF!</v>
      </c>
      <c r="DS1" t="e">
        <f>AND(#REF!,"AAAAAG+5f3o=")</f>
        <v>#REF!</v>
      </c>
      <c r="DT1" t="e">
        <f>IF(#REF!,"AAAAAG+5f3s=",0)</f>
        <v>#REF!</v>
      </c>
      <c r="DU1" t="e">
        <f>AND(#REF!,"AAAAAG+5f3w=")</f>
        <v>#REF!</v>
      </c>
      <c r="DV1" t="e">
        <f>AND(#REF!,"AAAAAG+5f30=")</f>
        <v>#REF!</v>
      </c>
      <c r="DW1" t="e">
        <f>IF(#REF!,"AAAAAG+5f34=",0)</f>
        <v>#REF!</v>
      </c>
      <c r="DX1" t="e">
        <f>AND(#REF!,"AAAAAG+5f38=")</f>
        <v>#REF!</v>
      </c>
      <c r="DY1" t="e">
        <f>AND(#REF!,"AAAAAG+5f4A=")</f>
        <v>#REF!</v>
      </c>
      <c r="DZ1" t="e">
        <f>IF(#REF!,"AAAAAG+5f4E=",0)</f>
        <v>#REF!</v>
      </c>
      <c r="EA1" t="e">
        <f>AND(#REF!,"AAAAAG+5f4I=")</f>
        <v>#REF!</v>
      </c>
      <c r="EB1" t="e">
        <f>AND(#REF!,"AAAAAG+5f4M=")</f>
        <v>#REF!</v>
      </c>
      <c r="EC1" t="e">
        <f>IF(#REF!,"AAAAAG+5f4Q=",0)</f>
        <v>#REF!</v>
      </c>
      <c r="ED1" t="e">
        <f>AND(#REF!,"AAAAAG+5f4U=")</f>
        <v>#REF!</v>
      </c>
      <c r="EE1" t="e">
        <f>AND(#REF!,"AAAAAG+5f4Y=")</f>
        <v>#REF!</v>
      </c>
      <c r="EF1" t="e">
        <f>IF(#REF!,"AAAAAG+5f4c=",0)</f>
        <v>#REF!</v>
      </c>
      <c r="EG1" t="e">
        <f>AND(#REF!,"AAAAAG+5f4g=")</f>
        <v>#REF!</v>
      </c>
      <c r="EH1" t="e">
        <f>AND(#REF!,"AAAAAG+5f4k=")</f>
        <v>#REF!</v>
      </c>
      <c r="EI1" t="e">
        <f>IF(#REF!,"AAAAAG+5f4o=",0)</f>
        <v>#REF!</v>
      </c>
      <c r="EJ1" t="e">
        <f>AND(#REF!,"AAAAAG+5f4s=")</f>
        <v>#REF!</v>
      </c>
      <c r="EK1" t="e">
        <f>AND(#REF!,"AAAAAG+5f4w=")</f>
        <v>#REF!</v>
      </c>
      <c r="EL1" t="e">
        <f>IF(#REF!,"AAAAAG+5f40=",0)</f>
        <v>#REF!</v>
      </c>
      <c r="EM1" t="e">
        <f>AND(#REF!,"AAAAAG+5f44=")</f>
        <v>#REF!</v>
      </c>
      <c r="EN1" t="e">
        <f>AND(#REF!,"AAAAAG+5f48=")</f>
        <v>#REF!</v>
      </c>
      <c r="EO1" t="e">
        <f>IF(#REF!,"AAAAAG+5f5A=",0)</f>
        <v>#REF!</v>
      </c>
      <c r="EP1" t="e">
        <f>AND(#REF!,"AAAAAG+5f5E=")</f>
        <v>#REF!</v>
      </c>
      <c r="EQ1" t="e">
        <f>AND(#REF!,"AAAAAG+5f5I=")</f>
        <v>#REF!</v>
      </c>
      <c r="ER1" t="e">
        <f>IF(#REF!,"AAAAAG+5f5M=",0)</f>
        <v>#REF!</v>
      </c>
      <c r="ES1" t="e">
        <f>AND(#REF!,"AAAAAG+5f5Q=")</f>
        <v>#REF!</v>
      </c>
      <c r="ET1" t="e">
        <f>AND(#REF!,"AAAAAG+5f5U=")</f>
        <v>#REF!</v>
      </c>
      <c r="EU1" t="e">
        <f>IF(#REF!,"AAAAAG+5f5Y=",0)</f>
        <v>#REF!</v>
      </c>
      <c r="EV1" t="e">
        <f>AND(#REF!,"AAAAAG+5f5c=")</f>
        <v>#REF!</v>
      </c>
      <c r="EW1" t="e">
        <f>AND(#REF!,"AAAAAG+5f5g=")</f>
        <v>#REF!</v>
      </c>
      <c r="EX1" t="e">
        <f>IF(#REF!,"AAAAAG+5f5k=",0)</f>
        <v>#REF!</v>
      </c>
      <c r="EY1" t="e">
        <f>AND(#REF!,"AAAAAG+5f5o=")</f>
        <v>#REF!</v>
      </c>
      <c r="EZ1" t="e">
        <f>AND(#REF!,"AAAAAG+5f5s=")</f>
        <v>#REF!</v>
      </c>
      <c r="FA1" t="e">
        <f>IF(#REF!,"AAAAAG+5f5w=",0)</f>
        <v>#REF!</v>
      </c>
      <c r="FB1" t="e">
        <f>AND(#REF!,"AAAAAG+5f50=")</f>
        <v>#REF!</v>
      </c>
      <c r="FC1" t="e">
        <f>AND(#REF!,"AAAAAG+5f54=")</f>
        <v>#REF!</v>
      </c>
      <c r="FD1" t="e">
        <f>IF(#REF!,"AAAAAG+5f58=",0)</f>
        <v>#REF!</v>
      </c>
      <c r="FE1" t="e">
        <f>AND(#REF!,"AAAAAG+5f6A=")</f>
        <v>#REF!</v>
      </c>
      <c r="FF1" t="e">
        <f>AND(#REF!,"AAAAAG+5f6E=")</f>
        <v>#REF!</v>
      </c>
      <c r="FG1" t="e">
        <f>IF(#REF!,"AAAAAG+5f6I=",0)</f>
        <v>#REF!</v>
      </c>
      <c r="FH1" t="e">
        <f>AND(#REF!,"AAAAAG+5f6M=")</f>
        <v>#REF!</v>
      </c>
      <c r="FI1" t="e">
        <f>AND(#REF!,"AAAAAG+5f6Q=")</f>
        <v>#REF!</v>
      </c>
      <c r="FJ1" t="e">
        <f>IF(#REF!,"AAAAAG+5f6U=",0)</f>
        <v>#REF!</v>
      </c>
      <c r="FK1" t="e">
        <f>AND(#REF!,"AAAAAG+5f6Y=")</f>
        <v>#REF!</v>
      </c>
      <c r="FL1" t="e">
        <f>AND(#REF!,"AAAAAG+5f6c=")</f>
        <v>#REF!</v>
      </c>
      <c r="FM1" t="e">
        <f>IF(#REF!,"AAAAAG+5f6g=",0)</f>
        <v>#REF!</v>
      </c>
      <c r="FN1" t="e">
        <f>AND(#REF!,"AAAAAG+5f6k=")</f>
        <v>#REF!</v>
      </c>
      <c r="FO1" t="e">
        <f>AND(#REF!,"AAAAAG+5f6o=")</f>
        <v>#REF!</v>
      </c>
      <c r="FP1" t="e">
        <f>IF(#REF!,"AAAAAG+5f6s=",0)</f>
        <v>#REF!</v>
      </c>
      <c r="FQ1" t="e">
        <f>AND(#REF!,"AAAAAG+5f6w=")</f>
        <v>#REF!</v>
      </c>
      <c r="FR1" t="e">
        <f>AND(#REF!,"AAAAAG+5f60=")</f>
        <v>#REF!</v>
      </c>
      <c r="FS1" t="e">
        <f>IF(#REF!,"AAAAAG+5f64=",0)</f>
        <v>#REF!</v>
      </c>
      <c r="FT1" t="e">
        <f>AND(#REF!,"AAAAAG+5f68=")</f>
        <v>#REF!</v>
      </c>
      <c r="FU1" t="e">
        <f>AND(#REF!,"AAAAAG+5f7A=")</f>
        <v>#REF!</v>
      </c>
      <c r="FV1" t="e">
        <f>IF(#REF!,"AAAAAG+5f7E=",0)</f>
        <v>#REF!</v>
      </c>
      <c r="FW1" t="e">
        <f>AND(#REF!,"AAAAAG+5f7I=")</f>
        <v>#REF!</v>
      </c>
      <c r="FX1" t="e">
        <f>AND(#REF!,"AAAAAG+5f7M=")</f>
        <v>#REF!</v>
      </c>
      <c r="FY1" t="e">
        <f>IF(#REF!,"AAAAAG+5f7Q=",0)</f>
        <v>#REF!</v>
      </c>
      <c r="FZ1" t="e">
        <f>AND(#REF!,"AAAAAG+5f7U=")</f>
        <v>#REF!</v>
      </c>
      <c r="GA1" t="e">
        <f>AND(#REF!,"AAAAAG+5f7Y=")</f>
        <v>#REF!</v>
      </c>
      <c r="GB1" t="e">
        <f>IF(#REF!,"AAAAAG+5f7c=",0)</f>
        <v>#REF!</v>
      </c>
      <c r="GC1" t="e">
        <f>AND(#REF!,"AAAAAG+5f7g=")</f>
        <v>#REF!</v>
      </c>
      <c r="GD1" t="e">
        <f>AND(#REF!,"AAAAAG+5f7k=")</f>
        <v>#REF!</v>
      </c>
      <c r="GE1" t="e">
        <f>IF(#REF!,"AAAAAG+5f7o=",0)</f>
        <v>#REF!</v>
      </c>
      <c r="GF1" t="e">
        <f>AND(#REF!,"AAAAAG+5f7s=")</f>
        <v>#REF!</v>
      </c>
      <c r="GG1" t="e">
        <f>AND(#REF!,"AAAAAG+5f7w=")</f>
        <v>#REF!</v>
      </c>
      <c r="GH1" t="e">
        <f>IF(#REF!,"AAAAAG+5f70=",0)</f>
        <v>#REF!</v>
      </c>
      <c r="GI1" t="e">
        <f>AND(#REF!,"AAAAAG+5f74=")</f>
        <v>#REF!</v>
      </c>
      <c r="GJ1" t="e">
        <f>AND(#REF!,"AAAAAG+5f78=")</f>
        <v>#REF!</v>
      </c>
      <c r="GK1" t="e">
        <f>IF(#REF!,"AAAAAG+5f8A=",0)</f>
        <v>#REF!</v>
      </c>
      <c r="GL1" t="e">
        <f>AND(#REF!,"AAAAAG+5f8E=")</f>
        <v>#REF!</v>
      </c>
      <c r="GM1" t="e">
        <f>AND(#REF!,"AAAAAG+5f8I=")</f>
        <v>#REF!</v>
      </c>
      <c r="GN1" t="e">
        <f>IF(#REF!,"AAAAAG+5f8M=",0)</f>
        <v>#REF!</v>
      </c>
      <c r="GO1" t="e">
        <f>AND(#REF!,"AAAAAG+5f8Q=")</f>
        <v>#REF!</v>
      </c>
      <c r="GP1" t="e">
        <f>AND(#REF!,"AAAAAG+5f8U=")</f>
        <v>#REF!</v>
      </c>
      <c r="GQ1" t="e">
        <f>IF(#REF!,"AAAAAG+5f8Y=",0)</f>
        <v>#REF!</v>
      </c>
      <c r="GR1" t="e">
        <f>AND(#REF!,"AAAAAG+5f8c=")</f>
        <v>#REF!</v>
      </c>
      <c r="GS1" t="e">
        <f>AND(#REF!,"AAAAAG+5f8g=")</f>
        <v>#REF!</v>
      </c>
      <c r="GT1" t="e">
        <f>IF(#REF!,"AAAAAG+5f8k=",0)</f>
        <v>#REF!</v>
      </c>
      <c r="GU1" t="e">
        <f>AND(#REF!,"AAAAAG+5f8o=")</f>
        <v>#REF!</v>
      </c>
      <c r="GV1" t="e">
        <f>AND(#REF!,"AAAAAG+5f8s=")</f>
        <v>#REF!</v>
      </c>
      <c r="GW1" t="e">
        <f>IF(#REF!,"AAAAAG+5f8w=",0)</f>
        <v>#REF!</v>
      </c>
      <c r="GX1" t="e">
        <f>AND(#REF!,"AAAAAG+5f80=")</f>
        <v>#REF!</v>
      </c>
      <c r="GY1" t="e">
        <f>AND(#REF!,"AAAAAG+5f84=")</f>
        <v>#REF!</v>
      </c>
      <c r="GZ1" t="e">
        <f>IF(#REF!,"AAAAAG+5f88=",0)</f>
        <v>#REF!</v>
      </c>
      <c r="HA1" t="e">
        <f>AND(#REF!,"AAAAAG+5f9A=")</f>
        <v>#REF!</v>
      </c>
      <c r="HB1" t="e">
        <f>AND(#REF!,"AAAAAG+5f9E=")</f>
        <v>#REF!</v>
      </c>
      <c r="HC1" t="e">
        <f>IF(#REF!,"AAAAAG+5f9I=",0)</f>
        <v>#REF!</v>
      </c>
      <c r="HD1" t="e">
        <f>AND(#REF!,"AAAAAG+5f9M=")</f>
        <v>#REF!</v>
      </c>
      <c r="HE1" t="e">
        <f>AND(#REF!,"AAAAAG+5f9Q=")</f>
        <v>#REF!</v>
      </c>
      <c r="HF1" t="e">
        <f>IF(#REF!,"AAAAAG+5f9U=",0)</f>
        <v>#REF!</v>
      </c>
      <c r="HG1" t="e">
        <f>AND(#REF!,"AAAAAG+5f9Y=")</f>
        <v>#REF!</v>
      </c>
      <c r="HH1" t="e">
        <f>AND(#REF!,"AAAAAG+5f9c=")</f>
        <v>#REF!</v>
      </c>
      <c r="HI1" t="e">
        <f>IF(#REF!,"AAAAAG+5f9g=",0)</f>
        <v>#REF!</v>
      </c>
      <c r="HJ1" t="e">
        <f>AND(#REF!,"AAAAAG+5f9k=")</f>
        <v>#REF!</v>
      </c>
      <c r="HK1" t="e">
        <f>AND(#REF!,"AAAAAG+5f9o=")</f>
        <v>#REF!</v>
      </c>
      <c r="HL1" t="e">
        <f>IF(#REF!,"AAAAAG+5f9s=",0)</f>
        <v>#REF!</v>
      </c>
      <c r="HM1" t="e">
        <f>AND(#REF!,"AAAAAG+5f9w=")</f>
        <v>#REF!</v>
      </c>
      <c r="HN1" t="e">
        <f>AND(#REF!,"AAAAAG+5f90=")</f>
        <v>#REF!</v>
      </c>
      <c r="HO1" t="e">
        <f>IF(#REF!,"AAAAAG+5f94=",0)</f>
        <v>#REF!</v>
      </c>
      <c r="HP1" t="e">
        <f>AND(#REF!,"AAAAAG+5f98=")</f>
        <v>#REF!</v>
      </c>
      <c r="HQ1" t="e">
        <f>AND(#REF!,"AAAAAG+5f+A=")</f>
        <v>#REF!</v>
      </c>
      <c r="HR1" t="e">
        <f>IF(#REF!,"AAAAAG+5f+E=",0)</f>
        <v>#REF!</v>
      </c>
      <c r="HS1" t="e">
        <f>AND(#REF!,"AAAAAG+5f+I=")</f>
        <v>#REF!</v>
      </c>
      <c r="HT1" t="e">
        <f>AND(#REF!,"AAAAAG+5f+M=")</f>
        <v>#REF!</v>
      </c>
      <c r="HU1" t="e">
        <f>IF(#REF!,"AAAAAG+5f+Q=",0)</f>
        <v>#REF!</v>
      </c>
      <c r="HV1" t="e">
        <f>AND(#REF!,"AAAAAG+5f+U=")</f>
        <v>#REF!</v>
      </c>
      <c r="HW1" t="e">
        <f>AND(#REF!,"AAAAAG+5f+Y=")</f>
        <v>#REF!</v>
      </c>
      <c r="HX1" t="e">
        <f>IF(#REF!,"AAAAAG+5f+c=",0)</f>
        <v>#REF!</v>
      </c>
      <c r="HY1" t="e">
        <f>AND(#REF!,"AAAAAG+5f+g=")</f>
        <v>#REF!</v>
      </c>
      <c r="HZ1" t="e">
        <f>AND(#REF!,"AAAAAG+5f+k=")</f>
        <v>#REF!</v>
      </c>
      <c r="IA1" t="e">
        <f>IF(#REF!,"AAAAAG+5f+o=",0)</f>
        <v>#REF!</v>
      </c>
      <c r="IB1" t="e">
        <f>AND(#REF!,"AAAAAG+5f+s=")</f>
        <v>#REF!</v>
      </c>
      <c r="IC1" t="e">
        <f>AND(#REF!,"AAAAAG+5f+w=")</f>
        <v>#REF!</v>
      </c>
      <c r="ID1" t="e">
        <f>IF(#REF!,"AAAAAG+5f+0=",0)</f>
        <v>#REF!</v>
      </c>
      <c r="IE1" t="e">
        <f>AND(#REF!,"AAAAAG+5f+4=")</f>
        <v>#REF!</v>
      </c>
      <c r="IF1" t="e">
        <f>AND(#REF!,"AAAAAG+5f+8=")</f>
        <v>#REF!</v>
      </c>
      <c r="IG1" t="e">
        <f>IF(#REF!,"AAAAAG+5f/A=",0)</f>
        <v>#REF!</v>
      </c>
      <c r="IH1" t="e">
        <f>AND(#REF!,"AAAAAG+5f/E=")</f>
        <v>#REF!</v>
      </c>
      <c r="II1" t="e">
        <f>AND(#REF!,"AAAAAG+5f/I=")</f>
        <v>#REF!</v>
      </c>
      <c r="IJ1" t="e">
        <f>IF(#REF!,"AAAAAG+5f/M=",0)</f>
        <v>#REF!</v>
      </c>
      <c r="IK1" t="e">
        <f>AND(#REF!,"AAAAAG+5f/Q=")</f>
        <v>#REF!</v>
      </c>
      <c r="IL1" t="e">
        <f>AND(#REF!,"AAAAAG+5f/U=")</f>
        <v>#REF!</v>
      </c>
      <c r="IM1" t="e">
        <f>IF(#REF!,"AAAAAG+5f/Y=",0)</f>
        <v>#REF!</v>
      </c>
      <c r="IN1" t="e">
        <f>AND(#REF!,"AAAAAG+5f/c=")</f>
        <v>#REF!</v>
      </c>
      <c r="IO1" t="e">
        <f>AND(#REF!,"AAAAAG+5f/g=")</f>
        <v>#REF!</v>
      </c>
      <c r="IP1" t="e">
        <f>IF(#REF!,"AAAAAG+5f/k=",0)</f>
        <v>#REF!</v>
      </c>
      <c r="IQ1" t="e">
        <f>AND(#REF!,"AAAAAG+5f/o=")</f>
        <v>#REF!</v>
      </c>
      <c r="IR1" t="e">
        <f>AND(#REF!,"AAAAAG+5f/s=")</f>
        <v>#REF!</v>
      </c>
      <c r="IS1" t="e">
        <f>IF(#REF!,"AAAAAG+5f/w=",0)</f>
        <v>#REF!</v>
      </c>
      <c r="IT1" t="e">
        <f>AND(#REF!,"AAAAAG+5f/0=")</f>
        <v>#REF!</v>
      </c>
      <c r="IU1" t="e">
        <f>AND(#REF!,"AAAAAG+5f/4=")</f>
        <v>#REF!</v>
      </c>
      <c r="IV1" t="e">
        <f>IF(#REF!,"AAAAAG+5f/8=",0)</f>
        <v>#REF!</v>
      </c>
    </row>
    <row r="2" spans="1:256" x14ac:dyDescent="0.25">
      <c r="A2" t="e">
        <f>AND(#REF!,"AAAAAG/eGwA=")</f>
        <v>#REF!</v>
      </c>
      <c r="B2" t="e">
        <f>AND(#REF!,"AAAAAG/eGwE=")</f>
        <v>#REF!</v>
      </c>
      <c r="C2" t="e">
        <f>IF(#REF!,"AAAAAG/eGwI=",0)</f>
        <v>#REF!</v>
      </c>
      <c r="D2" t="e">
        <f>AND(#REF!,"AAAAAG/eGwM=")</f>
        <v>#REF!</v>
      </c>
      <c r="E2" t="e">
        <f>AND(#REF!,"AAAAAG/eGwQ=")</f>
        <v>#REF!</v>
      </c>
      <c r="F2" t="e">
        <f>IF(#REF!,"AAAAAG/eGwU=",0)</f>
        <v>#REF!</v>
      </c>
      <c r="G2" t="e">
        <f>AND(#REF!,"AAAAAG/eGwY=")</f>
        <v>#REF!</v>
      </c>
      <c r="H2" t="e">
        <f>AND(#REF!,"AAAAAG/eGwc=")</f>
        <v>#REF!</v>
      </c>
      <c r="I2" t="e">
        <f>IF(#REF!,"AAAAAG/eGwg=",0)</f>
        <v>#REF!</v>
      </c>
      <c r="J2" t="e">
        <f>AND(#REF!,"AAAAAG/eGwk=")</f>
        <v>#REF!</v>
      </c>
      <c r="K2" t="e">
        <f>AND(#REF!,"AAAAAG/eGwo=")</f>
        <v>#REF!</v>
      </c>
      <c r="L2" t="e">
        <f>IF(#REF!,"AAAAAG/eGws=",0)</f>
        <v>#REF!</v>
      </c>
      <c r="M2" t="e">
        <f>AND(#REF!,"AAAAAG/eGww=")</f>
        <v>#REF!</v>
      </c>
      <c r="N2" t="e">
        <f>AND(#REF!,"AAAAAG/eGw0=")</f>
        <v>#REF!</v>
      </c>
      <c r="O2" t="e">
        <f>IF(#REF!,"AAAAAG/eGw4=",0)</f>
        <v>#REF!</v>
      </c>
      <c r="P2" t="e">
        <f>AND(#REF!,"AAAAAG/eGw8=")</f>
        <v>#REF!</v>
      </c>
      <c r="Q2" t="e">
        <f>AND(#REF!,"AAAAAG/eGxA=")</f>
        <v>#REF!</v>
      </c>
      <c r="R2" t="e">
        <f>IF(#REF!,"AAAAAG/eGxE=",0)</f>
        <v>#REF!</v>
      </c>
      <c r="S2" t="e">
        <f>AND(#REF!,"AAAAAG/eGxI=")</f>
        <v>#REF!</v>
      </c>
      <c r="T2" t="e">
        <f>AND(#REF!,"AAAAAG/eGxM=")</f>
        <v>#REF!</v>
      </c>
      <c r="U2" t="e">
        <f>IF(#REF!,"AAAAAG/eGxQ=",0)</f>
        <v>#REF!</v>
      </c>
      <c r="V2" t="e">
        <f>AND(#REF!,"AAAAAG/eGxU=")</f>
        <v>#REF!</v>
      </c>
      <c r="W2" t="e">
        <f>AND(#REF!,"AAAAAG/eGxY=")</f>
        <v>#REF!</v>
      </c>
      <c r="X2" t="e">
        <f>IF(#REF!,"AAAAAG/eGxc=",0)</f>
        <v>#REF!</v>
      </c>
      <c r="Y2" t="e">
        <f>AND(#REF!,"AAAAAG/eGxg=")</f>
        <v>#REF!</v>
      </c>
      <c r="Z2" t="e">
        <f>AND(#REF!,"AAAAAG/eGxk=")</f>
        <v>#REF!</v>
      </c>
      <c r="AA2" t="e">
        <f>IF(#REF!,"AAAAAG/eGxo=",0)</f>
        <v>#REF!</v>
      </c>
      <c r="AB2" t="e">
        <f>AND(#REF!,"AAAAAG/eGxs=")</f>
        <v>#REF!</v>
      </c>
      <c r="AC2" t="e">
        <f>AND(#REF!,"AAAAAG/eGxw=")</f>
        <v>#REF!</v>
      </c>
      <c r="AD2" t="e">
        <f>IF(#REF!,"AAAAAG/eGx0=",0)</f>
        <v>#REF!</v>
      </c>
      <c r="AE2" t="e">
        <f>AND(#REF!,"AAAAAG/eGx4=")</f>
        <v>#REF!</v>
      </c>
      <c r="AF2" t="e">
        <f>AND(#REF!,"AAAAAG/eGx8=")</f>
        <v>#REF!</v>
      </c>
      <c r="AG2" t="e">
        <f>IF(#REF!,"AAAAAG/eGyA=",0)</f>
        <v>#REF!</v>
      </c>
      <c r="AH2" t="e">
        <f>AND(#REF!,"AAAAAG/eGyE=")</f>
        <v>#REF!</v>
      </c>
      <c r="AI2" t="e">
        <f>AND(#REF!,"AAAAAG/eGyI=")</f>
        <v>#REF!</v>
      </c>
      <c r="AJ2" t="e">
        <f>IF(#REF!,"AAAAAG/eGyM=",0)</f>
        <v>#REF!</v>
      </c>
      <c r="AK2" t="e">
        <f>AND(#REF!,"AAAAAG/eGyQ=")</f>
        <v>#REF!</v>
      </c>
      <c r="AL2" t="e">
        <f>AND(#REF!,"AAAAAG/eGyU=")</f>
        <v>#REF!</v>
      </c>
      <c r="AM2" t="e">
        <f>IF(#REF!,"AAAAAG/eGyY=",0)</f>
        <v>#REF!</v>
      </c>
      <c r="AN2" t="e">
        <f>AND(#REF!,"AAAAAG/eGyc=")</f>
        <v>#REF!</v>
      </c>
      <c r="AO2" t="e">
        <f>AND(#REF!,"AAAAAG/eGyg=")</f>
        <v>#REF!</v>
      </c>
      <c r="AP2" t="e">
        <f>IF(#REF!,"AAAAAG/eGyk=",0)</f>
        <v>#REF!</v>
      </c>
      <c r="AQ2" t="e">
        <f>AND(#REF!,"AAAAAG/eGyo=")</f>
        <v>#REF!</v>
      </c>
      <c r="AR2" t="e">
        <f>AND(#REF!,"AAAAAG/eGys=")</f>
        <v>#REF!</v>
      </c>
      <c r="AS2" t="e">
        <f>IF(#REF!,"AAAAAG/eGyw=",0)</f>
        <v>#REF!</v>
      </c>
      <c r="AT2" t="e">
        <f>AND(#REF!,"AAAAAG/eGy0=")</f>
        <v>#REF!</v>
      </c>
      <c r="AU2" t="e">
        <f>AND(#REF!,"AAAAAG/eGy4=")</f>
        <v>#REF!</v>
      </c>
      <c r="AV2" t="e">
        <f>IF(#REF!,"AAAAAG/eGy8=",0)</f>
        <v>#REF!</v>
      </c>
      <c r="AW2" t="e">
        <f>AND(#REF!,"AAAAAG/eGzA=")</f>
        <v>#REF!</v>
      </c>
      <c r="AX2" t="e">
        <f>AND(#REF!,"AAAAAG/eGzE=")</f>
        <v>#REF!</v>
      </c>
      <c r="AY2" t="e">
        <f>IF(#REF!,"AAAAAG/eGzI=",0)</f>
        <v>#REF!</v>
      </c>
      <c r="AZ2" t="e">
        <f>AND(#REF!,"AAAAAG/eGzM=")</f>
        <v>#REF!</v>
      </c>
      <c r="BA2" t="e">
        <f>AND(#REF!,"AAAAAG/eGzQ=")</f>
        <v>#REF!</v>
      </c>
      <c r="BB2" t="e">
        <f>IF(#REF!,"AAAAAG/eGzU=",0)</f>
        <v>#REF!</v>
      </c>
      <c r="BC2" t="e">
        <f>AND(#REF!,"AAAAAG/eGzY=")</f>
        <v>#REF!</v>
      </c>
      <c r="BD2" t="e">
        <f>AND(#REF!,"AAAAAG/eGzc=")</f>
        <v>#REF!</v>
      </c>
      <c r="BE2" t="e">
        <f>IF(#REF!,"AAAAAG/eGzg=",0)</f>
        <v>#REF!</v>
      </c>
      <c r="BF2" t="e">
        <f>AND(#REF!,"AAAAAG/eGzk=")</f>
        <v>#REF!</v>
      </c>
      <c r="BG2" t="e">
        <f>AND(#REF!,"AAAAAG/eGzo=")</f>
        <v>#REF!</v>
      </c>
      <c r="BH2" t="e">
        <f>IF(#REF!,"AAAAAG/eGzs=",0)</f>
        <v>#REF!</v>
      </c>
      <c r="BI2" t="e">
        <f>AND(#REF!,"AAAAAG/eGzw=")</f>
        <v>#REF!</v>
      </c>
      <c r="BJ2" t="e">
        <f>AND(#REF!,"AAAAAG/eGz0=")</f>
        <v>#REF!</v>
      </c>
      <c r="BK2" t="e">
        <f>IF(#REF!,"AAAAAG/eGz4=",0)</f>
        <v>#REF!</v>
      </c>
      <c r="BL2" t="e">
        <f>AND(#REF!,"AAAAAG/eGz8=")</f>
        <v>#REF!</v>
      </c>
      <c r="BM2" t="e">
        <f>AND(#REF!,"AAAAAG/eG0A=")</f>
        <v>#REF!</v>
      </c>
      <c r="BN2" t="e">
        <f>IF(#REF!,"AAAAAG/eG0E=",0)</f>
        <v>#REF!</v>
      </c>
      <c r="BO2" t="e">
        <f>IF(#REF!,"AAAAAG/eG0I=",0)</f>
        <v>#REF!</v>
      </c>
      <c r="BP2" t="e">
        <f>IF(#REF!,"AAAAAG/eG0M=",0)</f>
        <v>#REF!</v>
      </c>
      <c r="BQ2" t="e">
        <f>IF(#REF!,"AAAAAG/eG0Q=",0)</f>
        <v>#REF!</v>
      </c>
      <c r="BR2" t="e">
        <f>IF(#REF!,"AAAAAG/eG0U=",0)</f>
        <v>#REF!</v>
      </c>
      <c r="BS2" t="e">
        <f>IF(#REF!,"AAAAAG/eG0Y=",0)</f>
        <v>#REF!</v>
      </c>
      <c r="BT2" t="e">
        <f>IF(#REF!,"AAAAAG/eG0c=",0)</f>
        <v>#REF!</v>
      </c>
      <c r="BU2" t="e">
        <f>IF(#REF!,"AAAAAG/eG0g=",0)</f>
        <v>#REF!</v>
      </c>
      <c r="BV2" t="e">
        <f>IF(#REF!,"AAAAAG/eG0k=",0)</f>
        <v>#REF!</v>
      </c>
      <c r="BW2" t="e">
        <f>IF(#REF!,"AAAAAG/eG0o=",0)</f>
        <v>#REF!</v>
      </c>
      <c r="BX2" t="e">
        <f>IF(#REF!,"AAAAAG/eG0s=",0)</f>
        <v>#REF!</v>
      </c>
      <c r="BY2" t="e">
        <f>IF(#REF!,"AAAAAG/eG0w=",0)</f>
        <v>#REF!</v>
      </c>
      <c r="BZ2" t="e">
        <f>IF(#REF!,"AAAAAG/eG00=",0)</f>
        <v>#REF!</v>
      </c>
      <c r="CA2" t="e">
        <f>IF(#REF!,"AAAAAG/eG04=",0)</f>
        <v>#REF!</v>
      </c>
      <c r="CB2" t="e">
        <f>AND(#REF!,"AAAAAG/eG08=")</f>
        <v>#REF!</v>
      </c>
      <c r="CC2" t="e">
        <f>AND(#REF!,"AAAAAG/eG1A=")</f>
        <v>#REF!</v>
      </c>
      <c r="CD2" t="e">
        <f>AND(#REF!,"AAAAAG/eG1E=")</f>
        <v>#REF!</v>
      </c>
      <c r="CE2" t="e">
        <f>AND(#REF!,"AAAAAG/eG1I=")</f>
        <v>#REF!</v>
      </c>
      <c r="CF2" t="e">
        <f>AND(#REF!,"AAAAAG/eG1M=")</f>
        <v>#REF!</v>
      </c>
      <c r="CG2" t="e">
        <f>IF(#REF!,"AAAAAG/eG1Q=",0)</f>
        <v>#REF!</v>
      </c>
      <c r="CH2" t="e">
        <f>AND(#REF!,"AAAAAG/eG1U=")</f>
        <v>#REF!</v>
      </c>
      <c r="CI2" t="e">
        <f>AND(#REF!,"AAAAAG/eG1Y=")</f>
        <v>#REF!</v>
      </c>
      <c r="CJ2" t="e">
        <f>AND(#REF!,"AAAAAG/eG1c=")</f>
        <v>#REF!</v>
      </c>
      <c r="CK2" t="e">
        <f>AND(#REF!,"AAAAAG/eG1g=")</f>
        <v>#REF!</v>
      </c>
      <c r="CL2" t="e">
        <f>AND(#REF!,"AAAAAG/eG1k=")</f>
        <v>#REF!</v>
      </c>
      <c r="CM2" t="e">
        <f>IF(#REF!,"AAAAAG/eG1o=",0)</f>
        <v>#REF!</v>
      </c>
      <c r="CN2" t="e">
        <f>AND(#REF!,"AAAAAG/eG1s=")</f>
        <v>#REF!</v>
      </c>
      <c r="CO2" t="e">
        <f>AND(#REF!,"AAAAAG/eG1w=")</f>
        <v>#REF!</v>
      </c>
      <c r="CP2" t="e">
        <f>AND(#REF!,"AAAAAG/eG10=")</f>
        <v>#REF!</v>
      </c>
      <c r="CQ2" t="e">
        <f>AND(#REF!,"AAAAAG/eG14=")</f>
        <v>#REF!</v>
      </c>
      <c r="CR2" t="e">
        <f>AND(#REF!,"AAAAAG/eG18=")</f>
        <v>#REF!</v>
      </c>
      <c r="CS2" t="e">
        <f>IF(#REF!,"AAAAAG/eG2A=",0)</f>
        <v>#REF!</v>
      </c>
      <c r="CT2" t="e">
        <f>AND(#REF!,"AAAAAG/eG2E=")</f>
        <v>#REF!</v>
      </c>
      <c r="CU2" t="e">
        <f>AND(#REF!,"AAAAAG/eG2I=")</f>
        <v>#REF!</v>
      </c>
      <c r="CV2" t="e">
        <f>AND(#REF!,"AAAAAG/eG2M=")</f>
        <v>#REF!</v>
      </c>
      <c r="CW2" t="e">
        <f>AND(#REF!,"AAAAAG/eG2Q=")</f>
        <v>#REF!</v>
      </c>
      <c r="CX2" t="e">
        <f>AND(#REF!,"AAAAAG/eG2U=")</f>
        <v>#REF!</v>
      </c>
      <c r="CY2" t="e">
        <f>IF(#REF!,"AAAAAG/eG2Y=",0)</f>
        <v>#REF!</v>
      </c>
      <c r="CZ2" t="e">
        <f>AND(#REF!,"AAAAAG/eG2c=")</f>
        <v>#REF!</v>
      </c>
      <c r="DA2" t="e">
        <f>AND(#REF!,"AAAAAG/eG2g=")</f>
        <v>#REF!</v>
      </c>
      <c r="DB2" t="e">
        <f>AND(#REF!,"AAAAAG/eG2k=")</f>
        <v>#REF!</v>
      </c>
      <c r="DC2" t="e">
        <f>AND(#REF!,"AAAAAG/eG2o=")</f>
        <v>#REF!</v>
      </c>
      <c r="DD2" t="e">
        <f>AND(#REF!,"AAAAAG/eG2s=")</f>
        <v>#REF!</v>
      </c>
      <c r="DE2" t="e">
        <f>IF(#REF!,"AAAAAG/eG2w=",0)</f>
        <v>#REF!</v>
      </c>
      <c r="DF2" t="e">
        <f>AND(#REF!,"AAAAAG/eG20=")</f>
        <v>#REF!</v>
      </c>
      <c r="DG2" t="e">
        <f>AND(#REF!,"AAAAAG/eG24=")</f>
        <v>#REF!</v>
      </c>
      <c r="DH2" t="e">
        <f>AND(#REF!,"AAAAAG/eG28=")</f>
        <v>#REF!</v>
      </c>
      <c r="DI2" t="e">
        <f>AND(#REF!,"AAAAAG/eG3A=")</f>
        <v>#REF!</v>
      </c>
      <c r="DJ2" t="e">
        <f>AND(#REF!,"AAAAAG/eG3E=")</f>
        <v>#REF!</v>
      </c>
      <c r="DK2" t="e">
        <f>IF(#REF!,"AAAAAG/eG3I=",0)</f>
        <v>#REF!</v>
      </c>
      <c r="DL2" t="e">
        <f>AND(#REF!,"AAAAAG/eG3M=")</f>
        <v>#REF!</v>
      </c>
      <c r="DM2" t="e">
        <f>AND(#REF!,"AAAAAG/eG3Q=")</f>
        <v>#REF!</v>
      </c>
      <c r="DN2" t="e">
        <f>AND(#REF!,"AAAAAG/eG3U=")</f>
        <v>#REF!</v>
      </c>
      <c r="DO2" t="e">
        <f>AND(#REF!,"AAAAAG/eG3Y=")</f>
        <v>#REF!</v>
      </c>
      <c r="DP2" t="e">
        <f>AND(#REF!,"AAAAAG/eG3c=")</f>
        <v>#REF!</v>
      </c>
      <c r="DQ2" t="e">
        <f>IF(#REF!,"AAAAAG/eG3g=",0)</f>
        <v>#REF!</v>
      </c>
      <c r="DR2" t="e">
        <f>AND(#REF!,"AAAAAG/eG3k=")</f>
        <v>#REF!</v>
      </c>
      <c r="DS2" t="e">
        <f>AND(#REF!,"AAAAAG/eG3o=")</f>
        <v>#REF!</v>
      </c>
      <c r="DT2" t="e">
        <f>AND(#REF!,"AAAAAG/eG3s=")</f>
        <v>#REF!</v>
      </c>
      <c r="DU2" t="e">
        <f>AND(#REF!,"AAAAAG/eG3w=")</f>
        <v>#REF!</v>
      </c>
      <c r="DV2" t="e">
        <f>AND(#REF!,"AAAAAG/eG30=")</f>
        <v>#REF!</v>
      </c>
      <c r="DW2" t="e">
        <f>IF(#REF!,"AAAAAG/eG34=",0)</f>
        <v>#REF!</v>
      </c>
      <c r="DX2" t="e">
        <f>AND(#REF!,"AAAAAG/eG38=")</f>
        <v>#REF!</v>
      </c>
      <c r="DY2" t="e">
        <f>IF(#REF!,"AAAAAG/eG4A=",0)</f>
        <v>#REF!</v>
      </c>
      <c r="DZ2" t="e">
        <f>IF(#REF!,"AAAAAG/eG4E=",0)</f>
        <v>#REF!</v>
      </c>
      <c r="EA2" t="e">
        <f>IF(#REF!,"AAAAAG/eG4I=",0)</f>
        <v>#REF!</v>
      </c>
      <c r="EB2" t="e">
        <f>IF(#REF!,"AAAAAG/eG4M=",0)</f>
        <v>#REF!</v>
      </c>
      <c r="EC2" t="e">
        <f>IF(#REF!,"AAAAAG/eG4Q=",0)</f>
        <v>#REF!</v>
      </c>
      <c r="ED2" t="e">
        <f>IF(#REF!,"AAAAAG/eG4U=",0)</f>
        <v>#REF!</v>
      </c>
      <c r="EE2" t="e">
        <f>AND(#REF!,"AAAAAG/eG4Y=")</f>
        <v>#REF!</v>
      </c>
      <c r="EF2" t="e">
        <f>AND(#REF!,"AAAAAG/eG4c=")</f>
        <v>#REF!</v>
      </c>
      <c r="EG2" t="e">
        <f>AND(#REF!,"AAAAAG/eG4g=")</f>
        <v>#REF!</v>
      </c>
      <c r="EH2" t="e">
        <f>AND(#REF!,"AAAAAG/eG4k=")</f>
        <v>#REF!</v>
      </c>
      <c r="EI2" t="e">
        <f>AND(#REF!,"AAAAAG/eG4o=")</f>
        <v>#REF!</v>
      </c>
      <c r="EJ2" t="e">
        <f>AND(#REF!,"AAAAAG/eG4s=")</f>
        <v>#REF!</v>
      </c>
      <c r="EK2" t="e">
        <f>AND(#REF!,"AAAAAG/eG4w=")</f>
        <v>#REF!</v>
      </c>
      <c r="EL2" t="e">
        <f>AND(#REF!,"AAAAAG/eG40=")</f>
        <v>#REF!</v>
      </c>
      <c r="EM2" t="e">
        <f>AND(#REF!,"AAAAAG/eG44=")</f>
        <v>#REF!</v>
      </c>
      <c r="EN2" t="e">
        <f>AND(#REF!,"AAAAAG/eG48=")</f>
        <v>#REF!</v>
      </c>
      <c r="EO2" t="e">
        <f>AND(#REF!,"AAAAAG/eG5A=")</f>
        <v>#REF!</v>
      </c>
      <c r="EP2" t="e">
        <f>AND(#REF!,"AAAAAG/eG5E=")</f>
        <v>#REF!</v>
      </c>
      <c r="EQ2" t="e">
        <f>AND(#REF!,"AAAAAG/eG5I=")</f>
        <v>#REF!</v>
      </c>
      <c r="ER2" t="e">
        <f>AND(#REF!,"AAAAAG/eG5M=")</f>
        <v>#REF!</v>
      </c>
      <c r="ES2" t="e">
        <f>AND(#REF!,"AAAAAG/eG5Q=")</f>
        <v>#REF!</v>
      </c>
      <c r="ET2" t="e">
        <f>AND(#REF!,"AAAAAG/eG5U=")</f>
        <v>#REF!</v>
      </c>
      <c r="EU2" t="e">
        <f>IF(#REF!,"AAAAAG/eG5Y=",0)</f>
        <v>#REF!</v>
      </c>
      <c r="EV2" t="e">
        <f>AND(#REF!,"AAAAAG/eG5c=")</f>
        <v>#REF!</v>
      </c>
      <c r="EW2" t="e">
        <f>AND(#REF!,"AAAAAG/eG5g=")</f>
        <v>#REF!</v>
      </c>
      <c r="EX2" t="e">
        <f>AND(#REF!,"AAAAAG/eG5k=")</f>
        <v>#REF!</v>
      </c>
      <c r="EY2" t="e">
        <f>AND(#REF!,"AAAAAG/eG5o=")</f>
        <v>#REF!</v>
      </c>
      <c r="EZ2" t="e">
        <f>AND(#REF!,"AAAAAG/eG5s=")</f>
        <v>#REF!</v>
      </c>
      <c r="FA2" t="e">
        <f>AND(#REF!,"AAAAAG/eG5w=")</f>
        <v>#REF!</v>
      </c>
      <c r="FB2" t="e">
        <f>AND(#REF!,"AAAAAG/eG50=")</f>
        <v>#REF!</v>
      </c>
      <c r="FC2" t="e">
        <f>AND(#REF!,"AAAAAG/eG54=")</f>
        <v>#REF!</v>
      </c>
      <c r="FD2" t="e">
        <f>AND(#REF!,"AAAAAG/eG58=")</f>
        <v>#REF!</v>
      </c>
      <c r="FE2" t="e">
        <f>AND(#REF!,"AAAAAG/eG6A=")</f>
        <v>#REF!</v>
      </c>
      <c r="FF2" t="e">
        <f>AND(#REF!,"AAAAAG/eG6E=")</f>
        <v>#REF!</v>
      </c>
      <c r="FG2" t="e">
        <f>AND(#REF!,"AAAAAG/eG6I=")</f>
        <v>#REF!</v>
      </c>
      <c r="FH2" t="e">
        <f>AND(#REF!,"AAAAAG/eG6M=")</f>
        <v>#REF!</v>
      </c>
      <c r="FI2" t="e">
        <f>AND(#REF!,"AAAAAG/eG6Q=")</f>
        <v>#REF!</v>
      </c>
      <c r="FJ2" t="e">
        <f>AND(#REF!,"AAAAAG/eG6U=")</f>
        <v>#REF!</v>
      </c>
      <c r="FK2" t="e">
        <f>AND(#REF!,"AAAAAG/eG6Y=")</f>
        <v>#REF!</v>
      </c>
      <c r="FL2" t="e">
        <f>IF(#REF!,"AAAAAG/eG6c=",0)</f>
        <v>#REF!</v>
      </c>
      <c r="FM2" t="e">
        <f>AND(#REF!,"AAAAAG/eG6g=")</f>
        <v>#REF!</v>
      </c>
      <c r="FN2" t="e">
        <f>AND(#REF!,"AAAAAG/eG6k=")</f>
        <v>#REF!</v>
      </c>
      <c r="FO2" t="e">
        <f>AND(#REF!,"AAAAAG/eG6o=")</f>
        <v>#REF!</v>
      </c>
      <c r="FP2" t="e">
        <f>AND(#REF!,"AAAAAG/eG6s=")</f>
        <v>#REF!</v>
      </c>
      <c r="FQ2" t="e">
        <f>AND(#REF!,"AAAAAG/eG6w=")</f>
        <v>#REF!</v>
      </c>
      <c r="FR2" t="e">
        <f>AND(#REF!,"AAAAAG/eG60=")</f>
        <v>#REF!</v>
      </c>
      <c r="FS2" t="e">
        <f>AND(#REF!,"AAAAAG/eG64=")</f>
        <v>#REF!</v>
      </c>
      <c r="FT2" t="e">
        <f>AND(#REF!,"AAAAAG/eG68=")</f>
        <v>#REF!</v>
      </c>
      <c r="FU2" t="e">
        <f>AND(#REF!,"AAAAAG/eG7A=")</f>
        <v>#REF!</v>
      </c>
      <c r="FV2" t="e">
        <f>AND(#REF!,"AAAAAG/eG7E=")</f>
        <v>#REF!</v>
      </c>
      <c r="FW2" t="e">
        <f>AND(#REF!,"AAAAAG/eG7I=")</f>
        <v>#REF!</v>
      </c>
      <c r="FX2" t="e">
        <f>AND(#REF!,"AAAAAG/eG7M=")</f>
        <v>#REF!</v>
      </c>
      <c r="FY2" t="e">
        <f>AND(#REF!,"AAAAAG/eG7Q=")</f>
        <v>#REF!</v>
      </c>
      <c r="FZ2" t="e">
        <f>AND(#REF!,"AAAAAG/eG7U=")</f>
        <v>#REF!</v>
      </c>
      <c r="GA2" t="e">
        <f>AND(#REF!,"AAAAAG/eG7Y=")</f>
        <v>#REF!</v>
      </c>
      <c r="GB2" t="e">
        <f>AND(#REF!,"AAAAAG/eG7c=")</f>
        <v>#REF!</v>
      </c>
      <c r="GC2" t="e">
        <f>IF(#REF!,"AAAAAG/eG7g=",0)</f>
        <v>#REF!</v>
      </c>
      <c r="GD2" t="e">
        <f>AND(#REF!,"AAAAAG/eG7k=")</f>
        <v>#REF!</v>
      </c>
      <c r="GE2" t="e">
        <f>AND(#REF!,"AAAAAG/eG7o=")</f>
        <v>#REF!</v>
      </c>
      <c r="GF2" t="e">
        <f>AND(#REF!,"AAAAAG/eG7s=")</f>
        <v>#REF!</v>
      </c>
      <c r="GG2" t="e">
        <f>AND(#REF!,"AAAAAG/eG7w=")</f>
        <v>#REF!</v>
      </c>
      <c r="GH2" t="e">
        <f>AND(#REF!,"AAAAAG/eG70=")</f>
        <v>#REF!</v>
      </c>
      <c r="GI2" t="e">
        <f>AND(#REF!,"AAAAAG/eG74=")</f>
        <v>#REF!</v>
      </c>
      <c r="GJ2" t="e">
        <f>AND(#REF!,"AAAAAG/eG78=")</f>
        <v>#REF!</v>
      </c>
      <c r="GK2" t="e">
        <f>AND(#REF!,"AAAAAG/eG8A=")</f>
        <v>#REF!</v>
      </c>
      <c r="GL2" t="e">
        <f>AND(#REF!,"AAAAAG/eG8E=")</f>
        <v>#REF!</v>
      </c>
      <c r="GM2" t="e">
        <f>AND(#REF!,"AAAAAG/eG8I=")</f>
        <v>#REF!</v>
      </c>
      <c r="GN2" t="e">
        <f>AND(#REF!,"AAAAAG/eG8M=")</f>
        <v>#REF!</v>
      </c>
      <c r="GO2" t="e">
        <f>AND(#REF!,"AAAAAG/eG8Q=")</f>
        <v>#REF!</v>
      </c>
      <c r="GP2" t="e">
        <f>AND(#REF!,"AAAAAG/eG8U=")</f>
        <v>#REF!</v>
      </c>
      <c r="GQ2" t="e">
        <f>AND(#REF!,"AAAAAG/eG8Y=")</f>
        <v>#REF!</v>
      </c>
      <c r="GR2" t="e">
        <f>AND(#REF!,"AAAAAG/eG8c=")</f>
        <v>#REF!</v>
      </c>
      <c r="GS2" t="e">
        <f>AND(#REF!,"AAAAAG/eG8g=")</f>
        <v>#REF!</v>
      </c>
      <c r="GT2" t="e">
        <f>IF(#REF!,"AAAAAG/eG8k=",0)</f>
        <v>#REF!</v>
      </c>
      <c r="GU2" t="e">
        <f>AND(#REF!,"AAAAAG/eG8o=")</f>
        <v>#REF!</v>
      </c>
      <c r="GV2" t="e">
        <f>AND(#REF!,"AAAAAG/eG8s=")</f>
        <v>#REF!</v>
      </c>
      <c r="GW2" t="e">
        <f>AND(#REF!,"AAAAAG/eG8w=")</f>
        <v>#REF!</v>
      </c>
      <c r="GX2" t="e">
        <f>AND(#REF!,"AAAAAG/eG80=")</f>
        <v>#REF!</v>
      </c>
      <c r="GY2" t="e">
        <f>AND(#REF!,"AAAAAG/eG84=")</f>
        <v>#REF!</v>
      </c>
      <c r="GZ2" t="e">
        <f>AND(#REF!,"AAAAAG/eG88=")</f>
        <v>#REF!</v>
      </c>
      <c r="HA2" t="e">
        <f>AND(#REF!,"AAAAAG/eG9A=")</f>
        <v>#REF!</v>
      </c>
      <c r="HB2" t="e">
        <f>AND(#REF!,"AAAAAG/eG9E=")</f>
        <v>#REF!</v>
      </c>
      <c r="HC2" t="e">
        <f>AND(#REF!,"AAAAAG/eG9I=")</f>
        <v>#REF!</v>
      </c>
      <c r="HD2" t="e">
        <f>AND(#REF!,"AAAAAG/eG9M=")</f>
        <v>#REF!</v>
      </c>
      <c r="HE2" t="e">
        <f>AND(#REF!,"AAAAAG/eG9Q=")</f>
        <v>#REF!</v>
      </c>
      <c r="HF2" t="e">
        <f>AND(#REF!,"AAAAAG/eG9U=")</f>
        <v>#REF!</v>
      </c>
      <c r="HG2" t="e">
        <f>AND(#REF!,"AAAAAG/eG9Y=")</f>
        <v>#REF!</v>
      </c>
      <c r="HH2" t="e">
        <f>AND(#REF!,"AAAAAG/eG9c=")</f>
        <v>#REF!</v>
      </c>
      <c r="HI2" t="e">
        <f>AND(#REF!,"AAAAAG/eG9g=")</f>
        <v>#REF!</v>
      </c>
      <c r="HJ2" t="e">
        <f>AND(#REF!,"AAAAAG/eG9k=")</f>
        <v>#REF!</v>
      </c>
      <c r="HK2" t="e">
        <f>IF(#REF!,"AAAAAG/eG9o=",0)</f>
        <v>#REF!</v>
      </c>
      <c r="HL2" t="e">
        <f>AND(#REF!,"AAAAAG/eG9s=")</f>
        <v>#REF!</v>
      </c>
      <c r="HM2" t="e">
        <f>AND(#REF!,"AAAAAG/eG9w=")</f>
        <v>#REF!</v>
      </c>
      <c r="HN2" t="e">
        <f>AND(#REF!,"AAAAAG/eG90=")</f>
        <v>#REF!</v>
      </c>
      <c r="HO2" t="e">
        <f>AND(#REF!,"AAAAAG/eG94=")</f>
        <v>#REF!</v>
      </c>
      <c r="HP2" t="e">
        <f>AND(#REF!,"AAAAAG/eG98=")</f>
        <v>#REF!</v>
      </c>
      <c r="HQ2" t="e">
        <f>AND(#REF!,"AAAAAG/eG+A=")</f>
        <v>#REF!</v>
      </c>
      <c r="HR2" t="e">
        <f>AND(#REF!,"AAAAAG/eG+E=")</f>
        <v>#REF!</v>
      </c>
      <c r="HS2" t="e">
        <f>AND(#REF!,"AAAAAG/eG+I=")</f>
        <v>#REF!</v>
      </c>
      <c r="HT2" t="e">
        <f>AND(#REF!,"AAAAAG/eG+M=")</f>
        <v>#REF!</v>
      </c>
      <c r="HU2" t="e">
        <f>AND(#REF!,"AAAAAG/eG+Q=")</f>
        <v>#REF!</v>
      </c>
      <c r="HV2" t="e">
        <f>AND(#REF!,"AAAAAG/eG+U=")</f>
        <v>#REF!</v>
      </c>
      <c r="HW2" t="e">
        <f>AND(#REF!,"AAAAAG/eG+Y=")</f>
        <v>#REF!</v>
      </c>
      <c r="HX2" t="e">
        <f>AND(#REF!,"AAAAAG/eG+c=")</f>
        <v>#REF!</v>
      </c>
      <c r="HY2" t="e">
        <f>AND(#REF!,"AAAAAG/eG+g=")</f>
        <v>#REF!</v>
      </c>
      <c r="HZ2" t="e">
        <f>AND(#REF!,"AAAAAG/eG+k=")</f>
        <v>#REF!</v>
      </c>
      <c r="IA2" t="e">
        <f>AND(#REF!,"AAAAAG/eG+o=")</f>
        <v>#REF!</v>
      </c>
      <c r="IB2" t="e">
        <f>IF(#REF!,"AAAAAG/eG+s=",0)</f>
        <v>#REF!</v>
      </c>
      <c r="IC2" t="e">
        <f>AND(#REF!,"AAAAAG/eG+w=")</f>
        <v>#REF!</v>
      </c>
      <c r="ID2" t="e">
        <f>AND(#REF!,"AAAAAG/eG+0=")</f>
        <v>#REF!</v>
      </c>
      <c r="IE2" t="e">
        <f>AND(#REF!,"AAAAAG/eG+4=")</f>
        <v>#REF!</v>
      </c>
      <c r="IF2" t="e">
        <f>AND(#REF!,"AAAAAG/eG+8=")</f>
        <v>#REF!</v>
      </c>
      <c r="IG2" t="e">
        <f>AND(#REF!,"AAAAAG/eG/A=")</f>
        <v>#REF!</v>
      </c>
      <c r="IH2" t="e">
        <f>AND(#REF!,"AAAAAG/eG/E=")</f>
        <v>#REF!</v>
      </c>
      <c r="II2" t="e">
        <f>AND(#REF!,"AAAAAG/eG/I=")</f>
        <v>#REF!</v>
      </c>
      <c r="IJ2" t="e">
        <f>AND(#REF!,"AAAAAG/eG/M=")</f>
        <v>#REF!</v>
      </c>
      <c r="IK2" t="e">
        <f>AND(#REF!,"AAAAAG/eG/Q=")</f>
        <v>#REF!</v>
      </c>
      <c r="IL2" t="e">
        <f>AND(#REF!,"AAAAAG/eG/U=")</f>
        <v>#REF!</v>
      </c>
      <c r="IM2" t="e">
        <f>AND(#REF!,"AAAAAG/eG/Y=")</f>
        <v>#REF!</v>
      </c>
      <c r="IN2" t="e">
        <f>AND(#REF!,"AAAAAG/eG/c=")</f>
        <v>#REF!</v>
      </c>
      <c r="IO2" t="e">
        <f>AND(#REF!,"AAAAAG/eG/g=")</f>
        <v>#REF!</v>
      </c>
      <c r="IP2" t="e">
        <f>AND(#REF!,"AAAAAG/eG/k=")</f>
        <v>#REF!</v>
      </c>
      <c r="IQ2" t="e">
        <f>AND(#REF!,"AAAAAG/eG/o=")</f>
        <v>#REF!</v>
      </c>
      <c r="IR2" t="e">
        <f>AND(#REF!,"AAAAAG/eG/s=")</f>
        <v>#REF!</v>
      </c>
      <c r="IS2" t="e">
        <f>IF(#REF!,"AAAAAG/eG/w=",0)</f>
        <v>#REF!</v>
      </c>
      <c r="IT2" t="e">
        <f>AND(#REF!,"AAAAAG/eG/0=")</f>
        <v>#REF!</v>
      </c>
      <c r="IU2" t="e">
        <f>AND(#REF!,"AAAAAG/eG/4=")</f>
        <v>#REF!</v>
      </c>
      <c r="IV2" t="e">
        <f>AND(#REF!,"AAAAAG/eG/8=")</f>
        <v>#REF!</v>
      </c>
    </row>
    <row r="3" spans="1:256" x14ac:dyDescent="0.25">
      <c r="A3" t="e">
        <f>AND(#REF!,"AAAAAH/zrwA=")</f>
        <v>#REF!</v>
      </c>
      <c r="B3" t="e">
        <f>AND(#REF!,"AAAAAH/zrwE=")</f>
        <v>#REF!</v>
      </c>
      <c r="C3" t="e">
        <f>AND(#REF!,"AAAAAH/zrwI=")</f>
        <v>#REF!</v>
      </c>
      <c r="D3" t="e">
        <f>AND(#REF!,"AAAAAH/zrwM=")</f>
        <v>#REF!</v>
      </c>
      <c r="E3" t="e">
        <f>AND(#REF!,"AAAAAH/zrwQ=")</f>
        <v>#REF!</v>
      </c>
      <c r="F3" t="e">
        <f>AND(#REF!,"AAAAAH/zrwU=")</f>
        <v>#REF!</v>
      </c>
      <c r="G3" t="e">
        <f>AND(#REF!,"AAAAAH/zrwY=")</f>
        <v>#REF!</v>
      </c>
      <c r="H3" t="e">
        <f>AND(#REF!,"AAAAAH/zrwc=")</f>
        <v>#REF!</v>
      </c>
      <c r="I3" t="e">
        <f>AND(#REF!,"AAAAAH/zrwg=")</f>
        <v>#REF!</v>
      </c>
      <c r="J3" t="e">
        <f>AND(#REF!,"AAAAAH/zrwk=")</f>
        <v>#REF!</v>
      </c>
      <c r="K3" t="e">
        <f>AND(#REF!,"AAAAAH/zrwo=")</f>
        <v>#REF!</v>
      </c>
      <c r="L3" t="e">
        <f>AND(#REF!,"AAAAAH/zrws=")</f>
        <v>#REF!</v>
      </c>
      <c r="M3" t="e">
        <f>AND(#REF!,"AAAAAH/zrww=")</f>
        <v>#REF!</v>
      </c>
      <c r="N3" t="e">
        <f>IF(#REF!,"AAAAAH/zrw0=",0)</f>
        <v>#REF!</v>
      </c>
      <c r="O3" t="e">
        <f>AND(#REF!,"AAAAAH/zrw4=")</f>
        <v>#REF!</v>
      </c>
      <c r="P3" t="e">
        <f>AND(#REF!,"AAAAAH/zrw8=")</f>
        <v>#REF!</v>
      </c>
      <c r="Q3" t="e">
        <f>AND(#REF!,"AAAAAH/zrxA=")</f>
        <v>#REF!</v>
      </c>
      <c r="R3" t="e">
        <f>AND(#REF!,"AAAAAH/zrxE=")</f>
        <v>#REF!</v>
      </c>
      <c r="S3" t="e">
        <f>AND(#REF!,"AAAAAH/zrxI=")</f>
        <v>#REF!</v>
      </c>
      <c r="T3" t="e">
        <f>AND(#REF!,"AAAAAH/zrxM=")</f>
        <v>#REF!</v>
      </c>
      <c r="U3" t="e">
        <f>AND(#REF!,"AAAAAH/zrxQ=")</f>
        <v>#REF!</v>
      </c>
      <c r="V3" t="e">
        <f>AND(#REF!,"AAAAAH/zrxU=")</f>
        <v>#REF!</v>
      </c>
      <c r="W3" t="e">
        <f>AND(#REF!,"AAAAAH/zrxY=")</f>
        <v>#REF!</v>
      </c>
      <c r="X3" t="e">
        <f>AND(#REF!,"AAAAAH/zrxc=")</f>
        <v>#REF!</v>
      </c>
      <c r="Y3" t="e">
        <f>AND(#REF!,"AAAAAH/zrxg=")</f>
        <v>#REF!</v>
      </c>
      <c r="Z3" t="e">
        <f>AND(#REF!,"AAAAAH/zrxk=")</f>
        <v>#REF!</v>
      </c>
      <c r="AA3" t="e">
        <f>AND(#REF!,"AAAAAH/zrxo=")</f>
        <v>#REF!</v>
      </c>
      <c r="AB3" t="e">
        <f>AND(#REF!,"AAAAAH/zrxs=")</f>
        <v>#REF!</v>
      </c>
      <c r="AC3" t="e">
        <f>AND(#REF!,"AAAAAH/zrxw=")</f>
        <v>#REF!</v>
      </c>
      <c r="AD3" t="e">
        <f>AND(#REF!,"AAAAAH/zrx0=")</f>
        <v>#REF!</v>
      </c>
      <c r="AE3" t="e">
        <f>IF(#REF!,"AAAAAH/zrx4=",0)</f>
        <v>#REF!</v>
      </c>
      <c r="AF3" t="e">
        <f>AND(#REF!,"AAAAAH/zrx8=")</f>
        <v>#REF!</v>
      </c>
      <c r="AG3" t="e">
        <f>AND(#REF!,"AAAAAH/zryA=")</f>
        <v>#REF!</v>
      </c>
      <c r="AH3" t="e">
        <f>AND(#REF!,"AAAAAH/zryE=")</f>
        <v>#REF!</v>
      </c>
      <c r="AI3" t="e">
        <f>AND(#REF!,"AAAAAH/zryI=")</f>
        <v>#REF!</v>
      </c>
      <c r="AJ3" t="e">
        <f>AND(#REF!,"AAAAAH/zryM=")</f>
        <v>#REF!</v>
      </c>
      <c r="AK3" t="e">
        <f>AND(#REF!,"AAAAAH/zryQ=")</f>
        <v>#REF!</v>
      </c>
      <c r="AL3" t="e">
        <f>AND(#REF!,"AAAAAH/zryU=")</f>
        <v>#REF!</v>
      </c>
      <c r="AM3" t="e">
        <f>AND(#REF!,"AAAAAH/zryY=")</f>
        <v>#REF!</v>
      </c>
      <c r="AN3" t="e">
        <f>AND(#REF!,"AAAAAH/zryc=")</f>
        <v>#REF!</v>
      </c>
      <c r="AO3" t="e">
        <f>AND(#REF!,"AAAAAH/zryg=")</f>
        <v>#REF!</v>
      </c>
      <c r="AP3" t="e">
        <f>AND(#REF!,"AAAAAH/zryk=")</f>
        <v>#REF!</v>
      </c>
      <c r="AQ3" t="e">
        <f>AND(#REF!,"AAAAAH/zryo=")</f>
        <v>#REF!</v>
      </c>
      <c r="AR3" t="e">
        <f>AND(#REF!,"AAAAAH/zrys=")</f>
        <v>#REF!</v>
      </c>
      <c r="AS3" t="e">
        <f>AND(#REF!,"AAAAAH/zryw=")</f>
        <v>#REF!</v>
      </c>
      <c r="AT3" t="e">
        <f>AND(#REF!,"AAAAAH/zry0=")</f>
        <v>#REF!</v>
      </c>
      <c r="AU3" t="e">
        <f>AND(#REF!,"AAAAAH/zry4=")</f>
        <v>#REF!</v>
      </c>
      <c r="AV3" t="e">
        <f>IF(#REF!,"AAAAAH/zry8=",0)</f>
        <v>#REF!</v>
      </c>
      <c r="AW3" t="e">
        <f>AND(#REF!,"AAAAAH/zrzA=")</f>
        <v>#REF!</v>
      </c>
      <c r="AX3" t="e">
        <f>AND(#REF!,"AAAAAH/zrzE=")</f>
        <v>#REF!</v>
      </c>
      <c r="AY3" t="e">
        <f>AND(#REF!,"AAAAAH/zrzI=")</f>
        <v>#REF!</v>
      </c>
      <c r="AZ3" t="e">
        <f>AND(#REF!,"AAAAAH/zrzM=")</f>
        <v>#REF!</v>
      </c>
      <c r="BA3" t="e">
        <f>AND(#REF!,"AAAAAH/zrzQ=")</f>
        <v>#REF!</v>
      </c>
      <c r="BB3" t="e">
        <f>AND(#REF!,"AAAAAH/zrzU=")</f>
        <v>#REF!</v>
      </c>
      <c r="BC3" t="e">
        <f>AND(#REF!,"AAAAAH/zrzY=")</f>
        <v>#REF!</v>
      </c>
      <c r="BD3" t="e">
        <f>AND(#REF!,"AAAAAH/zrzc=")</f>
        <v>#REF!</v>
      </c>
      <c r="BE3" t="e">
        <f>AND(#REF!,"AAAAAH/zrzg=")</f>
        <v>#REF!</v>
      </c>
      <c r="BF3" t="e">
        <f>AND(#REF!,"AAAAAH/zrzk=")</f>
        <v>#REF!</v>
      </c>
      <c r="BG3" t="e">
        <f>AND(#REF!,"AAAAAH/zrzo=")</f>
        <v>#REF!</v>
      </c>
      <c r="BH3" t="e">
        <f>AND(#REF!,"AAAAAH/zrzs=")</f>
        <v>#REF!</v>
      </c>
      <c r="BI3" t="e">
        <f>AND(#REF!,"AAAAAH/zrzw=")</f>
        <v>#REF!</v>
      </c>
      <c r="BJ3" t="e">
        <f>AND(#REF!,"AAAAAH/zrz0=")</f>
        <v>#REF!</v>
      </c>
      <c r="BK3" t="e">
        <f>AND(#REF!,"AAAAAH/zrz4=")</f>
        <v>#REF!</v>
      </c>
      <c r="BL3" t="e">
        <f>AND(#REF!,"AAAAAH/zrz8=")</f>
        <v>#REF!</v>
      </c>
      <c r="BM3" t="e">
        <f>IF(#REF!,"AAAAAH/zr0A=",0)</f>
        <v>#REF!</v>
      </c>
      <c r="BN3" t="e">
        <f>AND(#REF!,"AAAAAH/zr0E=")</f>
        <v>#REF!</v>
      </c>
      <c r="BO3" t="e">
        <f>AND(#REF!,"AAAAAH/zr0I=")</f>
        <v>#REF!</v>
      </c>
      <c r="BP3" t="e">
        <f>AND(#REF!,"AAAAAH/zr0M=")</f>
        <v>#REF!</v>
      </c>
      <c r="BQ3" t="e">
        <f>AND(#REF!,"AAAAAH/zr0Q=")</f>
        <v>#REF!</v>
      </c>
      <c r="BR3" t="e">
        <f>AND(#REF!,"AAAAAH/zr0U=")</f>
        <v>#REF!</v>
      </c>
      <c r="BS3" t="e">
        <f>AND(#REF!,"AAAAAH/zr0Y=")</f>
        <v>#REF!</v>
      </c>
      <c r="BT3" t="e">
        <f>AND(#REF!,"AAAAAH/zr0c=")</f>
        <v>#REF!</v>
      </c>
      <c r="BU3" t="e">
        <f>AND(#REF!,"AAAAAH/zr0g=")</f>
        <v>#REF!</v>
      </c>
      <c r="BV3" t="e">
        <f>AND(#REF!,"AAAAAH/zr0k=")</f>
        <v>#REF!</v>
      </c>
      <c r="BW3" t="e">
        <f>AND(#REF!,"AAAAAH/zr0o=")</f>
        <v>#REF!</v>
      </c>
      <c r="BX3" t="e">
        <f>AND(#REF!,"AAAAAH/zr0s=")</f>
        <v>#REF!</v>
      </c>
      <c r="BY3" t="e">
        <f>AND(#REF!,"AAAAAH/zr0w=")</f>
        <v>#REF!</v>
      </c>
      <c r="BZ3" t="e">
        <f>AND(#REF!,"AAAAAH/zr00=")</f>
        <v>#REF!</v>
      </c>
      <c r="CA3" t="e">
        <f>AND(#REF!,"AAAAAH/zr04=")</f>
        <v>#REF!</v>
      </c>
      <c r="CB3" t="e">
        <f>AND(#REF!,"AAAAAH/zr08=")</f>
        <v>#REF!</v>
      </c>
      <c r="CC3" t="e">
        <f>AND(#REF!,"AAAAAH/zr1A=")</f>
        <v>#REF!</v>
      </c>
      <c r="CD3" t="e">
        <f>IF(#REF!,"AAAAAH/zr1E=",0)</f>
        <v>#REF!</v>
      </c>
      <c r="CE3" t="e">
        <f>AND(#REF!,"AAAAAH/zr1I=")</f>
        <v>#REF!</v>
      </c>
      <c r="CF3" t="e">
        <f>AND(#REF!,"AAAAAH/zr1M=")</f>
        <v>#REF!</v>
      </c>
      <c r="CG3" t="e">
        <f>AND(#REF!,"AAAAAH/zr1Q=")</f>
        <v>#REF!</v>
      </c>
      <c r="CH3" t="e">
        <f>AND(#REF!,"AAAAAH/zr1U=")</f>
        <v>#REF!</v>
      </c>
      <c r="CI3" t="e">
        <f>AND(#REF!,"AAAAAH/zr1Y=")</f>
        <v>#REF!</v>
      </c>
      <c r="CJ3" t="e">
        <f>AND(#REF!,"AAAAAH/zr1c=")</f>
        <v>#REF!</v>
      </c>
      <c r="CK3" t="e">
        <f>AND(#REF!,"AAAAAH/zr1g=")</f>
        <v>#REF!</v>
      </c>
      <c r="CL3" t="e">
        <f>AND(#REF!,"AAAAAH/zr1k=")</f>
        <v>#REF!</v>
      </c>
      <c r="CM3" t="e">
        <f>AND(#REF!,"AAAAAH/zr1o=")</f>
        <v>#REF!</v>
      </c>
      <c r="CN3" t="e">
        <f>AND(#REF!,"AAAAAH/zr1s=")</f>
        <v>#REF!</v>
      </c>
      <c r="CO3" t="e">
        <f>AND(#REF!,"AAAAAH/zr1w=")</f>
        <v>#REF!</v>
      </c>
      <c r="CP3" t="e">
        <f>AND(#REF!,"AAAAAH/zr10=")</f>
        <v>#REF!</v>
      </c>
      <c r="CQ3" t="e">
        <f>AND(#REF!,"AAAAAH/zr14=")</f>
        <v>#REF!</v>
      </c>
      <c r="CR3" t="e">
        <f>AND(#REF!,"AAAAAH/zr18=")</f>
        <v>#REF!</v>
      </c>
      <c r="CS3" t="e">
        <f>AND(#REF!,"AAAAAH/zr2A=")</f>
        <v>#REF!</v>
      </c>
      <c r="CT3" t="e">
        <f>AND(#REF!,"AAAAAH/zr2E=")</f>
        <v>#REF!</v>
      </c>
      <c r="CU3" t="e">
        <f>IF(#REF!,"AAAAAH/zr2I=",0)</f>
        <v>#REF!</v>
      </c>
      <c r="CV3" t="e">
        <f>AND(#REF!,"AAAAAH/zr2M=")</f>
        <v>#REF!</v>
      </c>
      <c r="CW3" t="e">
        <f>AND(#REF!,"AAAAAH/zr2Q=")</f>
        <v>#REF!</v>
      </c>
      <c r="CX3" t="e">
        <f>AND(#REF!,"AAAAAH/zr2U=")</f>
        <v>#REF!</v>
      </c>
      <c r="CY3" t="e">
        <f>AND(#REF!,"AAAAAH/zr2Y=")</f>
        <v>#REF!</v>
      </c>
      <c r="CZ3" t="e">
        <f>AND(#REF!,"AAAAAH/zr2c=")</f>
        <v>#REF!</v>
      </c>
      <c r="DA3" t="e">
        <f>AND(#REF!,"AAAAAH/zr2g=")</f>
        <v>#REF!</v>
      </c>
      <c r="DB3" t="e">
        <f>AND(#REF!,"AAAAAH/zr2k=")</f>
        <v>#REF!</v>
      </c>
      <c r="DC3" t="e">
        <f>AND(#REF!,"AAAAAH/zr2o=")</f>
        <v>#REF!</v>
      </c>
      <c r="DD3" t="e">
        <f>AND(#REF!,"AAAAAH/zr2s=")</f>
        <v>#REF!</v>
      </c>
      <c r="DE3" t="e">
        <f>AND(#REF!,"AAAAAH/zr2w=")</f>
        <v>#REF!</v>
      </c>
      <c r="DF3" t="e">
        <f>AND(#REF!,"AAAAAH/zr20=")</f>
        <v>#REF!</v>
      </c>
      <c r="DG3" t="e">
        <f>AND(#REF!,"AAAAAH/zr24=")</f>
        <v>#REF!</v>
      </c>
      <c r="DH3" t="e">
        <f>AND(#REF!,"AAAAAH/zr28=")</f>
        <v>#REF!</v>
      </c>
      <c r="DI3" t="e">
        <f>AND(#REF!,"AAAAAH/zr3A=")</f>
        <v>#REF!</v>
      </c>
      <c r="DJ3" t="e">
        <f>AND(#REF!,"AAAAAH/zr3E=")</f>
        <v>#REF!</v>
      </c>
      <c r="DK3" t="e">
        <f>AND(#REF!,"AAAAAH/zr3I=")</f>
        <v>#REF!</v>
      </c>
      <c r="DL3" t="e">
        <f>IF(#REF!,"AAAAAH/zr3M=",0)</f>
        <v>#REF!</v>
      </c>
      <c r="DM3" t="e">
        <f>AND(#REF!,"AAAAAH/zr3Q=")</f>
        <v>#REF!</v>
      </c>
      <c r="DN3" t="e">
        <f>AND(#REF!,"AAAAAH/zr3U=")</f>
        <v>#REF!</v>
      </c>
      <c r="DO3" t="e">
        <f>AND(#REF!,"AAAAAH/zr3Y=")</f>
        <v>#REF!</v>
      </c>
      <c r="DP3" t="e">
        <f>AND(#REF!,"AAAAAH/zr3c=")</f>
        <v>#REF!</v>
      </c>
      <c r="DQ3" t="e">
        <f>AND(#REF!,"AAAAAH/zr3g=")</f>
        <v>#REF!</v>
      </c>
      <c r="DR3" t="e">
        <f>AND(#REF!,"AAAAAH/zr3k=")</f>
        <v>#REF!</v>
      </c>
      <c r="DS3" t="e">
        <f>AND(#REF!,"AAAAAH/zr3o=")</f>
        <v>#REF!</v>
      </c>
      <c r="DT3" t="e">
        <f>AND(#REF!,"AAAAAH/zr3s=")</f>
        <v>#REF!</v>
      </c>
      <c r="DU3" t="e">
        <f>AND(#REF!,"AAAAAH/zr3w=")</f>
        <v>#REF!</v>
      </c>
      <c r="DV3" t="e">
        <f>AND(#REF!,"AAAAAH/zr30=")</f>
        <v>#REF!</v>
      </c>
      <c r="DW3" t="e">
        <f>AND(#REF!,"AAAAAH/zr34=")</f>
        <v>#REF!</v>
      </c>
      <c r="DX3" t="e">
        <f>AND(#REF!,"AAAAAH/zr38=")</f>
        <v>#REF!</v>
      </c>
      <c r="DY3" t="e">
        <f>AND(#REF!,"AAAAAH/zr4A=")</f>
        <v>#REF!</v>
      </c>
      <c r="DZ3" t="e">
        <f>AND(#REF!,"AAAAAH/zr4E=")</f>
        <v>#REF!</v>
      </c>
      <c r="EA3" t="e">
        <f>AND(#REF!,"AAAAAH/zr4I=")</f>
        <v>#REF!</v>
      </c>
      <c r="EB3" t="e">
        <f>AND(#REF!,"AAAAAH/zr4M=")</f>
        <v>#REF!</v>
      </c>
      <c r="EC3" t="e">
        <f>IF(#REF!,"AAAAAH/zr4Q=",0)</f>
        <v>#REF!</v>
      </c>
      <c r="ED3" t="e">
        <f>AND(#REF!,"AAAAAH/zr4U=")</f>
        <v>#REF!</v>
      </c>
      <c r="EE3" t="e">
        <f>AND(#REF!,"AAAAAH/zr4Y=")</f>
        <v>#REF!</v>
      </c>
      <c r="EF3" t="e">
        <f>AND(#REF!,"AAAAAH/zr4c=")</f>
        <v>#REF!</v>
      </c>
      <c r="EG3" t="e">
        <f>AND(#REF!,"AAAAAH/zr4g=")</f>
        <v>#REF!</v>
      </c>
      <c r="EH3" t="e">
        <f>AND(#REF!,"AAAAAH/zr4k=")</f>
        <v>#REF!</v>
      </c>
      <c r="EI3" t="e">
        <f>AND(#REF!,"AAAAAH/zr4o=")</f>
        <v>#REF!</v>
      </c>
      <c r="EJ3" t="e">
        <f>AND(#REF!,"AAAAAH/zr4s=")</f>
        <v>#REF!</v>
      </c>
      <c r="EK3" t="e">
        <f>AND(#REF!,"AAAAAH/zr4w=")</f>
        <v>#REF!</v>
      </c>
      <c r="EL3" t="e">
        <f>AND(#REF!,"AAAAAH/zr40=")</f>
        <v>#REF!</v>
      </c>
      <c r="EM3" t="e">
        <f>AND(#REF!,"AAAAAH/zr44=")</f>
        <v>#REF!</v>
      </c>
      <c r="EN3" t="e">
        <f>AND(#REF!,"AAAAAH/zr48=")</f>
        <v>#REF!</v>
      </c>
      <c r="EO3" t="e">
        <f>AND(#REF!,"AAAAAH/zr5A=")</f>
        <v>#REF!</v>
      </c>
      <c r="EP3" t="e">
        <f>AND(#REF!,"AAAAAH/zr5E=")</f>
        <v>#REF!</v>
      </c>
      <c r="EQ3" t="e">
        <f>AND(#REF!,"AAAAAH/zr5I=")</f>
        <v>#REF!</v>
      </c>
      <c r="ER3" t="e">
        <f>AND(#REF!,"AAAAAH/zr5M=")</f>
        <v>#REF!</v>
      </c>
      <c r="ES3" t="e">
        <f>AND(#REF!,"AAAAAH/zr5Q=")</f>
        <v>#REF!</v>
      </c>
      <c r="ET3" t="e">
        <f>IF(#REF!,"AAAAAH/zr5U=",0)</f>
        <v>#REF!</v>
      </c>
      <c r="EU3" t="e">
        <f>AND(#REF!,"AAAAAH/zr5Y=")</f>
        <v>#REF!</v>
      </c>
      <c r="EV3" t="e">
        <f>AND(#REF!,"AAAAAH/zr5c=")</f>
        <v>#REF!</v>
      </c>
      <c r="EW3" t="e">
        <f>AND(#REF!,"AAAAAH/zr5g=")</f>
        <v>#REF!</v>
      </c>
      <c r="EX3" t="e">
        <f>AND(#REF!,"AAAAAH/zr5k=")</f>
        <v>#REF!</v>
      </c>
      <c r="EY3" t="e">
        <f>AND(#REF!,"AAAAAH/zr5o=")</f>
        <v>#REF!</v>
      </c>
      <c r="EZ3" t="e">
        <f>AND(#REF!,"AAAAAH/zr5s=")</f>
        <v>#REF!</v>
      </c>
      <c r="FA3" t="e">
        <f>AND(#REF!,"AAAAAH/zr5w=")</f>
        <v>#REF!</v>
      </c>
      <c r="FB3" t="e">
        <f>AND(#REF!,"AAAAAH/zr50=")</f>
        <v>#REF!</v>
      </c>
      <c r="FC3" t="e">
        <f>AND(#REF!,"AAAAAH/zr54=")</f>
        <v>#REF!</v>
      </c>
      <c r="FD3" t="e">
        <f>AND(#REF!,"AAAAAH/zr58=")</f>
        <v>#REF!</v>
      </c>
      <c r="FE3" t="e">
        <f>AND(#REF!,"AAAAAH/zr6A=")</f>
        <v>#REF!</v>
      </c>
      <c r="FF3" t="e">
        <f>AND(#REF!,"AAAAAH/zr6E=")</f>
        <v>#REF!</v>
      </c>
      <c r="FG3" t="e">
        <f>AND(#REF!,"AAAAAH/zr6I=")</f>
        <v>#REF!</v>
      </c>
      <c r="FH3" t="e">
        <f>AND(#REF!,"AAAAAH/zr6M=")</f>
        <v>#REF!</v>
      </c>
      <c r="FI3" t="e">
        <f>AND(#REF!,"AAAAAH/zr6Q=")</f>
        <v>#REF!</v>
      </c>
      <c r="FJ3" t="e">
        <f>AND(#REF!,"AAAAAH/zr6U=")</f>
        <v>#REF!</v>
      </c>
      <c r="FK3" t="e">
        <f>IF(#REF!,"AAAAAH/zr6Y=",0)</f>
        <v>#REF!</v>
      </c>
      <c r="FL3" t="e">
        <f>AND(#REF!,"AAAAAH/zr6c=")</f>
        <v>#REF!</v>
      </c>
      <c r="FM3" t="e">
        <f>AND(#REF!,"AAAAAH/zr6g=")</f>
        <v>#REF!</v>
      </c>
      <c r="FN3" t="e">
        <f>AND(#REF!,"AAAAAH/zr6k=")</f>
        <v>#REF!</v>
      </c>
      <c r="FO3" t="e">
        <f>AND(#REF!,"AAAAAH/zr6o=")</f>
        <v>#REF!</v>
      </c>
      <c r="FP3" t="e">
        <f>AND(#REF!,"AAAAAH/zr6s=")</f>
        <v>#REF!</v>
      </c>
      <c r="FQ3" t="e">
        <f>AND(#REF!,"AAAAAH/zr6w=")</f>
        <v>#REF!</v>
      </c>
      <c r="FR3" t="e">
        <f>AND(#REF!,"AAAAAH/zr60=")</f>
        <v>#REF!</v>
      </c>
      <c r="FS3" t="e">
        <f>AND(#REF!,"AAAAAH/zr64=")</f>
        <v>#REF!</v>
      </c>
      <c r="FT3" t="e">
        <f>AND(#REF!,"AAAAAH/zr68=")</f>
        <v>#REF!</v>
      </c>
      <c r="FU3" t="e">
        <f>AND(#REF!,"AAAAAH/zr7A=")</f>
        <v>#REF!</v>
      </c>
      <c r="FV3" t="e">
        <f>AND(#REF!,"AAAAAH/zr7E=")</f>
        <v>#REF!</v>
      </c>
      <c r="FW3" t="e">
        <f>AND(#REF!,"AAAAAH/zr7I=")</f>
        <v>#REF!</v>
      </c>
      <c r="FX3" t="e">
        <f>AND(#REF!,"AAAAAH/zr7M=")</f>
        <v>#REF!</v>
      </c>
      <c r="FY3" t="e">
        <f>AND(#REF!,"AAAAAH/zr7Q=")</f>
        <v>#REF!</v>
      </c>
      <c r="FZ3" t="e">
        <f>AND(#REF!,"AAAAAH/zr7U=")</f>
        <v>#REF!</v>
      </c>
      <c r="GA3" t="e">
        <f>AND(#REF!,"AAAAAH/zr7Y=")</f>
        <v>#REF!</v>
      </c>
      <c r="GB3" t="e">
        <f>IF(#REF!,"AAAAAH/zr7c=",0)</f>
        <v>#REF!</v>
      </c>
      <c r="GC3" t="e">
        <f>AND(#REF!,"AAAAAH/zr7g=")</f>
        <v>#REF!</v>
      </c>
      <c r="GD3" t="e">
        <f>AND(#REF!,"AAAAAH/zr7k=")</f>
        <v>#REF!</v>
      </c>
      <c r="GE3" t="e">
        <f>AND(#REF!,"AAAAAH/zr7o=")</f>
        <v>#REF!</v>
      </c>
      <c r="GF3" t="e">
        <f>AND(#REF!,"AAAAAH/zr7s=")</f>
        <v>#REF!</v>
      </c>
      <c r="GG3" t="e">
        <f>AND(#REF!,"AAAAAH/zr7w=")</f>
        <v>#REF!</v>
      </c>
      <c r="GH3" t="e">
        <f>AND(#REF!,"AAAAAH/zr70=")</f>
        <v>#REF!</v>
      </c>
      <c r="GI3" t="e">
        <f>AND(#REF!,"AAAAAH/zr74=")</f>
        <v>#REF!</v>
      </c>
      <c r="GJ3" t="e">
        <f>AND(#REF!,"AAAAAH/zr78=")</f>
        <v>#REF!</v>
      </c>
      <c r="GK3" t="e">
        <f>AND(#REF!,"AAAAAH/zr8A=")</f>
        <v>#REF!</v>
      </c>
      <c r="GL3" t="e">
        <f>AND(#REF!,"AAAAAH/zr8E=")</f>
        <v>#REF!</v>
      </c>
      <c r="GM3" t="e">
        <f>AND(#REF!,"AAAAAH/zr8I=")</f>
        <v>#REF!</v>
      </c>
      <c r="GN3" t="e">
        <f>AND(#REF!,"AAAAAH/zr8M=")</f>
        <v>#REF!</v>
      </c>
      <c r="GO3" t="e">
        <f>AND(#REF!,"AAAAAH/zr8Q=")</f>
        <v>#REF!</v>
      </c>
      <c r="GP3" t="e">
        <f>AND(#REF!,"AAAAAH/zr8U=")</f>
        <v>#REF!</v>
      </c>
      <c r="GQ3" t="e">
        <f>AND(#REF!,"AAAAAH/zr8Y=")</f>
        <v>#REF!</v>
      </c>
      <c r="GR3" t="e">
        <f>AND(#REF!,"AAAAAH/zr8c=")</f>
        <v>#REF!</v>
      </c>
      <c r="GS3" t="e">
        <f>IF(#REF!,"AAAAAH/zr8g=",0)</f>
        <v>#REF!</v>
      </c>
      <c r="GT3" t="e">
        <f>AND(#REF!,"AAAAAH/zr8k=")</f>
        <v>#REF!</v>
      </c>
      <c r="GU3" t="e">
        <f>AND(#REF!,"AAAAAH/zr8o=")</f>
        <v>#REF!</v>
      </c>
      <c r="GV3" t="e">
        <f>AND(#REF!,"AAAAAH/zr8s=")</f>
        <v>#REF!</v>
      </c>
      <c r="GW3" t="e">
        <f>AND(#REF!,"AAAAAH/zr8w=")</f>
        <v>#REF!</v>
      </c>
      <c r="GX3" t="e">
        <f>AND(#REF!,"AAAAAH/zr80=")</f>
        <v>#REF!</v>
      </c>
      <c r="GY3" t="e">
        <f>AND(#REF!,"AAAAAH/zr84=")</f>
        <v>#REF!</v>
      </c>
      <c r="GZ3" t="e">
        <f>AND(#REF!,"AAAAAH/zr88=")</f>
        <v>#REF!</v>
      </c>
      <c r="HA3" t="e">
        <f>AND(#REF!,"AAAAAH/zr9A=")</f>
        <v>#REF!</v>
      </c>
      <c r="HB3" t="e">
        <f>AND(#REF!,"AAAAAH/zr9E=")</f>
        <v>#REF!</v>
      </c>
      <c r="HC3" t="e">
        <f>AND(#REF!,"AAAAAH/zr9I=")</f>
        <v>#REF!</v>
      </c>
      <c r="HD3" t="e">
        <f>AND(#REF!,"AAAAAH/zr9M=")</f>
        <v>#REF!</v>
      </c>
      <c r="HE3" t="e">
        <f>AND(#REF!,"AAAAAH/zr9Q=")</f>
        <v>#REF!</v>
      </c>
      <c r="HF3" t="e">
        <f>AND(#REF!,"AAAAAH/zr9U=")</f>
        <v>#REF!</v>
      </c>
      <c r="HG3" t="e">
        <f>AND(#REF!,"AAAAAH/zr9Y=")</f>
        <v>#REF!</v>
      </c>
      <c r="HH3" t="e">
        <f>AND(#REF!,"AAAAAH/zr9c=")</f>
        <v>#REF!</v>
      </c>
      <c r="HI3" t="e">
        <f>AND(#REF!,"AAAAAH/zr9g=")</f>
        <v>#REF!</v>
      </c>
      <c r="HJ3" t="e">
        <f>IF(#REF!,"AAAAAH/zr9k=",0)</f>
        <v>#REF!</v>
      </c>
      <c r="HK3" t="e">
        <f>AND(#REF!,"AAAAAH/zr9o=")</f>
        <v>#REF!</v>
      </c>
      <c r="HL3" t="e">
        <f>AND(#REF!,"AAAAAH/zr9s=")</f>
        <v>#REF!</v>
      </c>
      <c r="HM3" t="e">
        <f>AND(#REF!,"AAAAAH/zr9w=")</f>
        <v>#REF!</v>
      </c>
      <c r="HN3" t="e">
        <f>AND(#REF!,"AAAAAH/zr90=")</f>
        <v>#REF!</v>
      </c>
      <c r="HO3" t="e">
        <f>AND(#REF!,"AAAAAH/zr94=")</f>
        <v>#REF!</v>
      </c>
      <c r="HP3" t="e">
        <f>AND(#REF!,"AAAAAH/zr98=")</f>
        <v>#REF!</v>
      </c>
      <c r="HQ3" t="e">
        <f>AND(#REF!,"AAAAAH/zr+A=")</f>
        <v>#REF!</v>
      </c>
      <c r="HR3" t="e">
        <f>AND(#REF!,"AAAAAH/zr+E=")</f>
        <v>#REF!</v>
      </c>
      <c r="HS3" t="e">
        <f>AND(#REF!,"AAAAAH/zr+I=")</f>
        <v>#REF!</v>
      </c>
      <c r="HT3" t="e">
        <f>AND(#REF!,"AAAAAH/zr+M=")</f>
        <v>#REF!</v>
      </c>
      <c r="HU3" t="e">
        <f>AND(#REF!,"AAAAAH/zr+Q=")</f>
        <v>#REF!</v>
      </c>
      <c r="HV3" t="e">
        <f>AND(#REF!,"AAAAAH/zr+U=")</f>
        <v>#REF!</v>
      </c>
      <c r="HW3" t="e">
        <f>AND(#REF!,"AAAAAH/zr+Y=")</f>
        <v>#REF!</v>
      </c>
      <c r="HX3" t="e">
        <f>AND(#REF!,"AAAAAH/zr+c=")</f>
        <v>#REF!</v>
      </c>
      <c r="HY3" t="e">
        <f>AND(#REF!,"AAAAAH/zr+g=")</f>
        <v>#REF!</v>
      </c>
      <c r="HZ3" t="e">
        <f>AND(#REF!,"AAAAAH/zr+k=")</f>
        <v>#REF!</v>
      </c>
      <c r="IA3" t="e">
        <f>IF(#REF!,"AAAAAH/zr+o=",0)</f>
        <v>#REF!</v>
      </c>
      <c r="IB3" t="e">
        <f>AND(#REF!,"AAAAAH/zr+s=")</f>
        <v>#REF!</v>
      </c>
      <c r="IC3" t="e">
        <f>AND(#REF!,"AAAAAH/zr+w=")</f>
        <v>#REF!</v>
      </c>
      <c r="ID3" t="e">
        <f>AND(#REF!,"AAAAAH/zr+0=")</f>
        <v>#REF!</v>
      </c>
      <c r="IE3" t="e">
        <f>AND(#REF!,"AAAAAH/zr+4=")</f>
        <v>#REF!</v>
      </c>
      <c r="IF3" t="e">
        <f>AND(#REF!,"AAAAAH/zr+8=")</f>
        <v>#REF!</v>
      </c>
      <c r="IG3" t="e">
        <f>AND(#REF!,"AAAAAH/zr/A=")</f>
        <v>#REF!</v>
      </c>
      <c r="IH3" t="e">
        <f>AND(#REF!,"AAAAAH/zr/E=")</f>
        <v>#REF!</v>
      </c>
      <c r="II3" t="e">
        <f>AND(#REF!,"AAAAAH/zr/I=")</f>
        <v>#REF!</v>
      </c>
      <c r="IJ3" t="e">
        <f>AND(#REF!,"AAAAAH/zr/M=")</f>
        <v>#REF!</v>
      </c>
      <c r="IK3" t="e">
        <f>AND(#REF!,"AAAAAH/zr/Q=")</f>
        <v>#REF!</v>
      </c>
      <c r="IL3" t="e">
        <f>AND(#REF!,"AAAAAH/zr/U=")</f>
        <v>#REF!</v>
      </c>
      <c r="IM3" t="e">
        <f>AND(#REF!,"AAAAAH/zr/Y=")</f>
        <v>#REF!</v>
      </c>
      <c r="IN3" t="e">
        <f>AND(#REF!,"AAAAAH/zr/c=")</f>
        <v>#REF!</v>
      </c>
      <c r="IO3" t="e">
        <f>AND(#REF!,"AAAAAH/zr/g=")</f>
        <v>#REF!</v>
      </c>
      <c r="IP3" t="e">
        <f>AND(#REF!,"AAAAAH/zr/k=")</f>
        <v>#REF!</v>
      </c>
      <c r="IQ3" t="e">
        <f>AND(#REF!,"AAAAAH/zr/o=")</f>
        <v>#REF!</v>
      </c>
      <c r="IR3" t="e">
        <f>IF(#REF!,"AAAAAH/zr/s=",0)</f>
        <v>#REF!</v>
      </c>
      <c r="IS3" t="e">
        <f>AND(#REF!,"AAAAAH/zr/w=")</f>
        <v>#REF!</v>
      </c>
      <c r="IT3" t="e">
        <f>AND(#REF!,"AAAAAH/zr/0=")</f>
        <v>#REF!</v>
      </c>
      <c r="IU3" t="e">
        <f>AND(#REF!,"AAAAAH/zr/4=")</f>
        <v>#REF!</v>
      </c>
      <c r="IV3" t="e">
        <f>AND(#REF!,"AAAAAH/zr/8=")</f>
        <v>#REF!</v>
      </c>
    </row>
    <row r="4" spans="1:256" x14ac:dyDescent="0.25">
      <c r="A4" t="e">
        <f>AND(#REF!,"AAAAAHXv5wA=")</f>
        <v>#REF!</v>
      </c>
      <c r="B4" t="e">
        <f>AND(#REF!,"AAAAAHXv5wE=")</f>
        <v>#REF!</v>
      </c>
      <c r="C4" t="e">
        <f>AND(#REF!,"AAAAAHXv5wI=")</f>
        <v>#REF!</v>
      </c>
      <c r="D4" t="e">
        <f>AND(#REF!,"AAAAAHXv5wM=")</f>
        <v>#REF!</v>
      </c>
      <c r="E4" t="e">
        <f>AND(#REF!,"AAAAAHXv5wQ=")</f>
        <v>#REF!</v>
      </c>
      <c r="F4" t="e">
        <f>AND(#REF!,"AAAAAHXv5wU=")</f>
        <v>#REF!</v>
      </c>
      <c r="G4" t="e">
        <f>AND(#REF!,"AAAAAHXv5wY=")</f>
        <v>#REF!</v>
      </c>
      <c r="H4" t="e">
        <f>AND(#REF!,"AAAAAHXv5wc=")</f>
        <v>#REF!</v>
      </c>
      <c r="I4" t="e">
        <f>AND(#REF!,"AAAAAHXv5wg=")</f>
        <v>#REF!</v>
      </c>
      <c r="J4" t="e">
        <f>AND(#REF!,"AAAAAHXv5wk=")</f>
        <v>#REF!</v>
      </c>
      <c r="K4" t="e">
        <f>AND(#REF!,"AAAAAHXv5wo=")</f>
        <v>#REF!</v>
      </c>
      <c r="L4" t="e">
        <f>AND(#REF!,"AAAAAHXv5ws=")</f>
        <v>#REF!</v>
      </c>
      <c r="M4" t="e">
        <f>IF(#REF!,"AAAAAHXv5ww=",0)</f>
        <v>#REF!</v>
      </c>
      <c r="N4" t="e">
        <f>AND(#REF!,"AAAAAHXv5w0=")</f>
        <v>#REF!</v>
      </c>
      <c r="O4" t="e">
        <f>AND(#REF!,"AAAAAHXv5w4=")</f>
        <v>#REF!</v>
      </c>
      <c r="P4" t="e">
        <f>AND(#REF!,"AAAAAHXv5w8=")</f>
        <v>#REF!</v>
      </c>
      <c r="Q4" t="e">
        <f>AND(#REF!,"AAAAAHXv5xA=")</f>
        <v>#REF!</v>
      </c>
      <c r="R4" t="e">
        <f>AND(#REF!,"AAAAAHXv5xE=")</f>
        <v>#REF!</v>
      </c>
      <c r="S4" t="e">
        <f>AND(#REF!,"AAAAAHXv5xI=")</f>
        <v>#REF!</v>
      </c>
      <c r="T4" t="e">
        <f>AND(#REF!,"AAAAAHXv5xM=")</f>
        <v>#REF!</v>
      </c>
      <c r="U4" t="e">
        <f>AND(#REF!,"AAAAAHXv5xQ=")</f>
        <v>#REF!</v>
      </c>
      <c r="V4" t="e">
        <f>AND(#REF!,"AAAAAHXv5xU=")</f>
        <v>#REF!</v>
      </c>
      <c r="W4" t="e">
        <f>AND(#REF!,"AAAAAHXv5xY=")</f>
        <v>#REF!</v>
      </c>
      <c r="X4" t="e">
        <f>AND(#REF!,"AAAAAHXv5xc=")</f>
        <v>#REF!</v>
      </c>
      <c r="Y4" t="e">
        <f>AND(#REF!,"AAAAAHXv5xg=")</f>
        <v>#REF!</v>
      </c>
      <c r="Z4" t="e">
        <f>AND(#REF!,"AAAAAHXv5xk=")</f>
        <v>#REF!</v>
      </c>
      <c r="AA4" t="e">
        <f>AND(#REF!,"AAAAAHXv5xo=")</f>
        <v>#REF!</v>
      </c>
      <c r="AB4" t="e">
        <f>AND(#REF!,"AAAAAHXv5xs=")</f>
        <v>#REF!</v>
      </c>
      <c r="AC4" t="e">
        <f>AND(#REF!,"AAAAAHXv5xw=")</f>
        <v>#REF!</v>
      </c>
      <c r="AD4" t="e">
        <f>IF(#REF!,"AAAAAHXv5x0=",0)</f>
        <v>#REF!</v>
      </c>
      <c r="AE4" t="e">
        <f>AND(#REF!,"AAAAAHXv5x4=")</f>
        <v>#REF!</v>
      </c>
      <c r="AF4" t="e">
        <f>AND(#REF!,"AAAAAHXv5x8=")</f>
        <v>#REF!</v>
      </c>
      <c r="AG4" t="e">
        <f>AND(#REF!,"AAAAAHXv5yA=")</f>
        <v>#REF!</v>
      </c>
      <c r="AH4" t="e">
        <f>AND(#REF!,"AAAAAHXv5yE=")</f>
        <v>#REF!</v>
      </c>
      <c r="AI4" t="e">
        <f>AND(#REF!,"AAAAAHXv5yI=")</f>
        <v>#REF!</v>
      </c>
      <c r="AJ4" t="e">
        <f>AND(#REF!,"AAAAAHXv5yM=")</f>
        <v>#REF!</v>
      </c>
      <c r="AK4" t="e">
        <f>AND(#REF!,"AAAAAHXv5yQ=")</f>
        <v>#REF!</v>
      </c>
      <c r="AL4" t="e">
        <f>AND(#REF!,"AAAAAHXv5yU=")</f>
        <v>#REF!</v>
      </c>
      <c r="AM4" t="e">
        <f>AND(#REF!,"AAAAAHXv5yY=")</f>
        <v>#REF!</v>
      </c>
      <c r="AN4" t="e">
        <f>AND(#REF!,"AAAAAHXv5yc=")</f>
        <v>#REF!</v>
      </c>
      <c r="AO4" t="e">
        <f>AND(#REF!,"AAAAAHXv5yg=")</f>
        <v>#REF!</v>
      </c>
      <c r="AP4" t="e">
        <f>AND(#REF!,"AAAAAHXv5yk=")</f>
        <v>#REF!</v>
      </c>
      <c r="AQ4" t="e">
        <f>AND(#REF!,"AAAAAHXv5yo=")</f>
        <v>#REF!</v>
      </c>
      <c r="AR4" t="e">
        <f>AND(#REF!,"AAAAAHXv5ys=")</f>
        <v>#REF!</v>
      </c>
      <c r="AS4" t="e">
        <f>AND(#REF!,"AAAAAHXv5yw=")</f>
        <v>#REF!</v>
      </c>
      <c r="AT4" t="e">
        <f>AND(#REF!,"AAAAAHXv5y0=")</f>
        <v>#REF!</v>
      </c>
      <c r="AU4" t="e">
        <f>IF(#REF!,"AAAAAHXv5y4=",0)</f>
        <v>#REF!</v>
      </c>
      <c r="AV4" t="e">
        <f>AND(#REF!,"AAAAAHXv5y8=")</f>
        <v>#REF!</v>
      </c>
      <c r="AW4" t="e">
        <f>AND(#REF!,"AAAAAHXv5zA=")</f>
        <v>#REF!</v>
      </c>
      <c r="AX4" t="e">
        <f>AND(#REF!,"AAAAAHXv5zE=")</f>
        <v>#REF!</v>
      </c>
      <c r="AY4" t="e">
        <f>AND(#REF!,"AAAAAHXv5zI=")</f>
        <v>#REF!</v>
      </c>
      <c r="AZ4" t="e">
        <f>AND(#REF!,"AAAAAHXv5zM=")</f>
        <v>#REF!</v>
      </c>
      <c r="BA4" t="e">
        <f>AND(#REF!,"AAAAAHXv5zQ=")</f>
        <v>#REF!</v>
      </c>
      <c r="BB4" t="e">
        <f>AND(#REF!,"AAAAAHXv5zU=")</f>
        <v>#REF!</v>
      </c>
      <c r="BC4" t="e">
        <f>AND(#REF!,"AAAAAHXv5zY=")</f>
        <v>#REF!</v>
      </c>
      <c r="BD4" t="e">
        <f>AND(#REF!,"AAAAAHXv5zc=")</f>
        <v>#REF!</v>
      </c>
      <c r="BE4" t="e">
        <f>AND(#REF!,"AAAAAHXv5zg=")</f>
        <v>#REF!</v>
      </c>
      <c r="BF4" t="e">
        <f>AND(#REF!,"AAAAAHXv5zk=")</f>
        <v>#REF!</v>
      </c>
      <c r="BG4" t="e">
        <f>AND(#REF!,"AAAAAHXv5zo=")</f>
        <v>#REF!</v>
      </c>
      <c r="BH4" t="e">
        <f>AND(#REF!,"AAAAAHXv5zs=")</f>
        <v>#REF!</v>
      </c>
      <c r="BI4" t="e">
        <f>AND(#REF!,"AAAAAHXv5zw=")</f>
        <v>#REF!</v>
      </c>
      <c r="BJ4" t="e">
        <f>AND(#REF!,"AAAAAHXv5z0=")</f>
        <v>#REF!</v>
      </c>
      <c r="BK4" t="e">
        <f>AND(#REF!,"AAAAAHXv5z4=")</f>
        <v>#REF!</v>
      </c>
      <c r="BL4" t="e">
        <f>IF(#REF!,"AAAAAHXv5z8=",0)</f>
        <v>#REF!</v>
      </c>
      <c r="BM4" t="e">
        <f>AND(#REF!,"AAAAAHXv50A=")</f>
        <v>#REF!</v>
      </c>
      <c r="BN4" t="e">
        <f>AND(#REF!,"AAAAAHXv50E=")</f>
        <v>#REF!</v>
      </c>
      <c r="BO4" t="e">
        <f>AND(#REF!,"AAAAAHXv50I=")</f>
        <v>#REF!</v>
      </c>
      <c r="BP4" t="e">
        <f>AND(#REF!,"AAAAAHXv50M=")</f>
        <v>#REF!</v>
      </c>
      <c r="BQ4" t="e">
        <f>AND(#REF!,"AAAAAHXv50Q=")</f>
        <v>#REF!</v>
      </c>
      <c r="BR4" t="e">
        <f>AND(#REF!,"AAAAAHXv50U=")</f>
        <v>#REF!</v>
      </c>
      <c r="BS4" t="e">
        <f>AND(#REF!,"AAAAAHXv50Y=")</f>
        <v>#REF!</v>
      </c>
      <c r="BT4" t="e">
        <f>AND(#REF!,"AAAAAHXv50c=")</f>
        <v>#REF!</v>
      </c>
      <c r="BU4" t="e">
        <f>AND(#REF!,"AAAAAHXv50g=")</f>
        <v>#REF!</v>
      </c>
      <c r="BV4" t="e">
        <f>AND(#REF!,"AAAAAHXv50k=")</f>
        <v>#REF!</v>
      </c>
      <c r="BW4" t="e">
        <f>AND(#REF!,"AAAAAHXv50o=")</f>
        <v>#REF!</v>
      </c>
      <c r="BX4" t="e">
        <f>AND(#REF!,"AAAAAHXv50s=")</f>
        <v>#REF!</v>
      </c>
      <c r="BY4" t="e">
        <f>AND(#REF!,"AAAAAHXv50w=")</f>
        <v>#REF!</v>
      </c>
      <c r="BZ4" t="e">
        <f>AND(#REF!,"AAAAAHXv500=")</f>
        <v>#REF!</v>
      </c>
      <c r="CA4" t="e">
        <f>AND(#REF!,"AAAAAHXv504=")</f>
        <v>#REF!</v>
      </c>
      <c r="CB4" t="e">
        <f>AND(#REF!,"AAAAAHXv508=")</f>
        <v>#REF!</v>
      </c>
      <c r="CC4" t="e">
        <f>IF(#REF!,"AAAAAHXv51A=",0)</f>
        <v>#REF!</v>
      </c>
      <c r="CD4" t="e">
        <f>AND(#REF!,"AAAAAHXv51E=")</f>
        <v>#REF!</v>
      </c>
      <c r="CE4" t="e">
        <f>AND(#REF!,"AAAAAHXv51I=")</f>
        <v>#REF!</v>
      </c>
      <c r="CF4" t="e">
        <f>AND(#REF!,"AAAAAHXv51M=")</f>
        <v>#REF!</v>
      </c>
      <c r="CG4" t="e">
        <f>AND(#REF!,"AAAAAHXv51Q=")</f>
        <v>#REF!</v>
      </c>
      <c r="CH4" t="e">
        <f>AND(#REF!,"AAAAAHXv51U=")</f>
        <v>#REF!</v>
      </c>
      <c r="CI4" t="e">
        <f>AND(#REF!,"AAAAAHXv51Y=")</f>
        <v>#REF!</v>
      </c>
      <c r="CJ4" t="e">
        <f>AND(#REF!,"AAAAAHXv51c=")</f>
        <v>#REF!</v>
      </c>
      <c r="CK4" t="e">
        <f>AND(#REF!,"AAAAAHXv51g=")</f>
        <v>#REF!</v>
      </c>
      <c r="CL4" t="e">
        <f>AND(#REF!,"AAAAAHXv51k=")</f>
        <v>#REF!</v>
      </c>
      <c r="CM4" t="e">
        <f>AND(#REF!,"AAAAAHXv51o=")</f>
        <v>#REF!</v>
      </c>
      <c r="CN4" t="e">
        <f>AND(#REF!,"AAAAAHXv51s=")</f>
        <v>#REF!</v>
      </c>
      <c r="CO4" t="e">
        <f>AND(#REF!,"AAAAAHXv51w=")</f>
        <v>#REF!</v>
      </c>
      <c r="CP4" t="e">
        <f>AND(#REF!,"AAAAAHXv510=")</f>
        <v>#REF!</v>
      </c>
      <c r="CQ4" t="e">
        <f>AND(#REF!,"AAAAAHXv514=")</f>
        <v>#REF!</v>
      </c>
      <c r="CR4" t="e">
        <f>AND(#REF!,"AAAAAHXv518=")</f>
        <v>#REF!</v>
      </c>
      <c r="CS4" t="e">
        <f>AND(#REF!,"AAAAAHXv52A=")</f>
        <v>#REF!</v>
      </c>
      <c r="CT4" t="e">
        <f>IF(#REF!,"AAAAAHXv52E=",0)</f>
        <v>#REF!</v>
      </c>
      <c r="CU4" t="e">
        <f>AND(#REF!,"AAAAAHXv52I=")</f>
        <v>#REF!</v>
      </c>
      <c r="CV4" t="e">
        <f>AND(#REF!,"AAAAAHXv52M=")</f>
        <v>#REF!</v>
      </c>
      <c r="CW4" t="e">
        <f>AND(#REF!,"AAAAAHXv52Q=")</f>
        <v>#REF!</v>
      </c>
      <c r="CX4" t="e">
        <f>AND(#REF!,"AAAAAHXv52U=")</f>
        <v>#REF!</v>
      </c>
      <c r="CY4" t="e">
        <f>AND(#REF!,"AAAAAHXv52Y=")</f>
        <v>#REF!</v>
      </c>
      <c r="CZ4" t="e">
        <f>AND(#REF!,"AAAAAHXv52c=")</f>
        <v>#REF!</v>
      </c>
      <c r="DA4" t="e">
        <f>AND(#REF!,"AAAAAHXv52g=")</f>
        <v>#REF!</v>
      </c>
      <c r="DB4" t="e">
        <f>AND(#REF!,"AAAAAHXv52k=")</f>
        <v>#REF!</v>
      </c>
      <c r="DC4" t="e">
        <f>AND(#REF!,"AAAAAHXv52o=")</f>
        <v>#REF!</v>
      </c>
      <c r="DD4" t="e">
        <f>AND(#REF!,"AAAAAHXv52s=")</f>
        <v>#REF!</v>
      </c>
      <c r="DE4" t="e">
        <f>AND(#REF!,"AAAAAHXv52w=")</f>
        <v>#REF!</v>
      </c>
      <c r="DF4" t="e">
        <f>AND(#REF!,"AAAAAHXv520=")</f>
        <v>#REF!</v>
      </c>
      <c r="DG4" t="e">
        <f>AND(#REF!,"AAAAAHXv524=")</f>
        <v>#REF!</v>
      </c>
      <c r="DH4" t="e">
        <f>AND(#REF!,"AAAAAHXv528=")</f>
        <v>#REF!</v>
      </c>
      <c r="DI4" t="e">
        <f>AND(#REF!,"AAAAAHXv53A=")</f>
        <v>#REF!</v>
      </c>
      <c r="DJ4" t="e">
        <f>AND(#REF!,"AAAAAHXv53E=")</f>
        <v>#REF!</v>
      </c>
      <c r="DK4" t="e">
        <f>IF(#REF!,"AAAAAHXv53I=",0)</f>
        <v>#REF!</v>
      </c>
      <c r="DL4" t="e">
        <f>AND(#REF!,"AAAAAHXv53M=")</f>
        <v>#REF!</v>
      </c>
      <c r="DM4" t="e">
        <f>AND(#REF!,"AAAAAHXv53Q=")</f>
        <v>#REF!</v>
      </c>
      <c r="DN4" t="e">
        <f>AND(#REF!,"AAAAAHXv53U=")</f>
        <v>#REF!</v>
      </c>
      <c r="DO4" t="e">
        <f>AND(#REF!,"AAAAAHXv53Y=")</f>
        <v>#REF!</v>
      </c>
      <c r="DP4" t="e">
        <f>AND(#REF!,"AAAAAHXv53c=")</f>
        <v>#REF!</v>
      </c>
      <c r="DQ4" t="e">
        <f>AND(#REF!,"AAAAAHXv53g=")</f>
        <v>#REF!</v>
      </c>
      <c r="DR4" t="e">
        <f>AND(#REF!,"AAAAAHXv53k=")</f>
        <v>#REF!</v>
      </c>
      <c r="DS4" t="e">
        <f>AND(#REF!,"AAAAAHXv53o=")</f>
        <v>#REF!</v>
      </c>
      <c r="DT4" t="e">
        <f>AND(#REF!,"AAAAAHXv53s=")</f>
        <v>#REF!</v>
      </c>
      <c r="DU4" t="e">
        <f>AND(#REF!,"AAAAAHXv53w=")</f>
        <v>#REF!</v>
      </c>
      <c r="DV4" t="e">
        <f>AND(#REF!,"AAAAAHXv530=")</f>
        <v>#REF!</v>
      </c>
      <c r="DW4" t="e">
        <f>AND(#REF!,"AAAAAHXv534=")</f>
        <v>#REF!</v>
      </c>
      <c r="DX4" t="e">
        <f>AND(#REF!,"AAAAAHXv538=")</f>
        <v>#REF!</v>
      </c>
      <c r="DY4" t="e">
        <f>AND(#REF!,"AAAAAHXv54A=")</f>
        <v>#REF!</v>
      </c>
      <c r="DZ4" t="e">
        <f>AND(#REF!,"AAAAAHXv54E=")</f>
        <v>#REF!</v>
      </c>
      <c r="EA4" t="e">
        <f>AND(#REF!,"AAAAAHXv54I=")</f>
        <v>#REF!</v>
      </c>
      <c r="EB4" t="e">
        <f>IF(#REF!,"AAAAAHXv54M=",0)</f>
        <v>#REF!</v>
      </c>
      <c r="EC4" t="e">
        <f>AND(#REF!,"AAAAAHXv54Q=")</f>
        <v>#REF!</v>
      </c>
      <c r="ED4" t="e">
        <f>AND(#REF!,"AAAAAHXv54U=")</f>
        <v>#REF!</v>
      </c>
      <c r="EE4" t="e">
        <f>AND(#REF!,"AAAAAHXv54Y=")</f>
        <v>#REF!</v>
      </c>
      <c r="EF4" t="e">
        <f>AND(#REF!,"AAAAAHXv54c=")</f>
        <v>#REF!</v>
      </c>
      <c r="EG4" t="e">
        <f>AND(#REF!,"AAAAAHXv54g=")</f>
        <v>#REF!</v>
      </c>
      <c r="EH4" t="e">
        <f>AND(#REF!,"AAAAAHXv54k=")</f>
        <v>#REF!</v>
      </c>
      <c r="EI4" t="e">
        <f>AND(#REF!,"AAAAAHXv54o=")</f>
        <v>#REF!</v>
      </c>
      <c r="EJ4" t="e">
        <f>AND(#REF!,"AAAAAHXv54s=")</f>
        <v>#REF!</v>
      </c>
      <c r="EK4" t="e">
        <f>AND(#REF!,"AAAAAHXv54w=")</f>
        <v>#REF!</v>
      </c>
      <c r="EL4" t="e">
        <f>AND(#REF!,"AAAAAHXv540=")</f>
        <v>#REF!</v>
      </c>
      <c r="EM4" t="e">
        <f>AND(#REF!,"AAAAAHXv544=")</f>
        <v>#REF!</v>
      </c>
      <c r="EN4" t="e">
        <f>AND(#REF!,"AAAAAHXv548=")</f>
        <v>#REF!</v>
      </c>
      <c r="EO4" t="e">
        <f>AND(#REF!,"AAAAAHXv55A=")</f>
        <v>#REF!</v>
      </c>
      <c r="EP4" t="e">
        <f>AND(#REF!,"AAAAAHXv55E=")</f>
        <v>#REF!</v>
      </c>
      <c r="EQ4" t="e">
        <f>AND(#REF!,"AAAAAHXv55I=")</f>
        <v>#REF!</v>
      </c>
      <c r="ER4" t="e">
        <f>AND(#REF!,"AAAAAHXv55M=")</f>
        <v>#REF!</v>
      </c>
      <c r="ES4" t="e">
        <f>IF(#REF!,"AAAAAHXv55Q=",0)</f>
        <v>#REF!</v>
      </c>
      <c r="ET4" t="e">
        <f>AND(#REF!,"AAAAAHXv55U=")</f>
        <v>#REF!</v>
      </c>
      <c r="EU4" t="e">
        <f>AND(#REF!,"AAAAAHXv55Y=")</f>
        <v>#REF!</v>
      </c>
      <c r="EV4" t="e">
        <f>AND(#REF!,"AAAAAHXv55c=")</f>
        <v>#REF!</v>
      </c>
      <c r="EW4" t="e">
        <f>AND(#REF!,"AAAAAHXv55g=")</f>
        <v>#REF!</v>
      </c>
      <c r="EX4" t="e">
        <f>AND(#REF!,"AAAAAHXv55k=")</f>
        <v>#REF!</v>
      </c>
      <c r="EY4" t="e">
        <f>AND(#REF!,"AAAAAHXv55o=")</f>
        <v>#REF!</v>
      </c>
      <c r="EZ4" t="e">
        <f>AND(#REF!,"AAAAAHXv55s=")</f>
        <v>#REF!</v>
      </c>
      <c r="FA4" t="e">
        <f>AND(#REF!,"AAAAAHXv55w=")</f>
        <v>#REF!</v>
      </c>
      <c r="FB4" t="e">
        <f>AND(#REF!,"AAAAAHXv550=")</f>
        <v>#REF!</v>
      </c>
      <c r="FC4" t="e">
        <f>AND(#REF!,"AAAAAHXv554=")</f>
        <v>#REF!</v>
      </c>
      <c r="FD4" t="e">
        <f>AND(#REF!,"AAAAAHXv558=")</f>
        <v>#REF!</v>
      </c>
      <c r="FE4" t="e">
        <f>AND(#REF!,"AAAAAHXv56A=")</f>
        <v>#REF!</v>
      </c>
      <c r="FF4" t="e">
        <f>AND(#REF!,"AAAAAHXv56E=")</f>
        <v>#REF!</v>
      </c>
      <c r="FG4" t="e">
        <f>AND(#REF!,"AAAAAHXv56I=")</f>
        <v>#REF!</v>
      </c>
      <c r="FH4" t="e">
        <f>AND(#REF!,"AAAAAHXv56M=")</f>
        <v>#REF!</v>
      </c>
      <c r="FI4" t="e">
        <f>AND(#REF!,"AAAAAHXv56Q=")</f>
        <v>#REF!</v>
      </c>
      <c r="FJ4" t="e">
        <f>IF(#REF!,"AAAAAHXv56U=",0)</f>
        <v>#REF!</v>
      </c>
      <c r="FK4" t="e">
        <f>AND(#REF!,"AAAAAHXv56Y=")</f>
        <v>#REF!</v>
      </c>
      <c r="FL4" t="e">
        <f>AND(#REF!,"AAAAAHXv56c=")</f>
        <v>#REF!</v>
      </c>
      <c r="FM4" t="e">
        <f>AND(#REF!,"AAAAAHXv56g=")</f>
        <v>#REF!</v>
      </c>
      <c r="FN4" t="e">
        <f>AND(#REF!,"AAAAAHXv56k=")</f>
        <v>#REF!</v>
      </c>
      <c r="FO4" t="e">
        <f>AND(#REF!,"AAAAAHXv56o=")</f>
        <v>#REF!</v>
      </c>
      <c r="FP4" t="e">
        <f>AND(#REF!,"AAAAAHXv56s=")</f>
        <v>#REF!</v>
      </c>
      <c r="FQ4" t="e">
        <f>AND(#REF!,"AAAAAHXv56w=")</f>
        <v>#REF!</v>
      </c>
      <c r="FR4" t="e">
        <f>AND(#REF!,"AAAAAHXv560=")</f>
        <v>#REF!</v>
      </c>
      <c r="FS4" t="e">
        <f>AND(#REF!,"AAAAAHXv564=")</f>
        <v>#REF!</v>
      </c>
      <c r="FT4" t="e">
        <f>AND(#REF!,"AAAAAHXv568=")</f>
        <v>#REF!</v>
      </c>
      <c r="FU4" t="e">
        <f>AND(#REF!,"AAAAAHXv57A=")</f>
        <v>#REF!</v>
      </c>
      <c r="FV4" t="e">
        <f>AND(#REF!,"AAAAAHXv57E=")</f>
        <v>#REF!</v>
      </c>
      <c r="FW4" t="e">
        <f>AND(#REF!,"AAAAAHXv57I=")</f>
        <v>#REF!</v>
      </c>
      <c r="FX4" t="e">
        <f>AND(#REF!,"AAAAAHXv57M=")</f>
        <v>#REF!</v>
      </c>
      <c r="FY4" t="e">
        <f>AND(#REF!,"AAAAAHXv57Q=")</f>
        <v>#REF!</v>
      </c>
      <c r="FZ4" t="e">
        <f>AND(#REF!,"AAAAAHXv57U=")</f>
        <v>#REF!</v>
      </c>
      <c r="GA4" t="e">
        <f>IF(#REF!,"AAAAAHXv57Y=",0)</f>
        <v>#REF!</v>
      </c>
      <c r="GB4" t="e">
        <f>AND(#REF!,"AAAAAHXv57c=")</f>
        <v>#REF!</v>
      </c>
      <c r="GC4" t="e">
        <f>AND(#REF!,"AAAAAHXv57g=")</f>
        <v>#REF!</v>
      </c>
      <c r="GD4" t="e">
        <f>AND(#REF!,"AAAAAHXv57k=")</f>
        <v>#REF!</v>
      </c>
      <c r="GE4" t="e">
        <f>AND(#REF!,"AAAAAHXv57o=")</f>
        <v>#REF!</v>
      </c>
      <c r="GF4" t="e">
        <f>AND(#REF!,"AAAAAHXv57s=")</f>
        <v>#REF!</v>
      </c>
      <c r="GG4" t="e">
        <f>AND(#REF!,"AAAAAHXv57w=")</f>
        <v>#REF!</v>
      </c>
      <c r="GH4" t="e">
        <f>AND(#REF!,"AAAAAHXv570=")</f>
        <v>#REF!</v>
      </c>
      <c r="GI4" t="e">
        <f>AND(#REF!,"AAAAAHXv574=")</f>
        <v>#REF!</v>
      </c>
      <c r="GJ4" t="e">
        <f>AND(#REF!,"AAAAAHXv578=")</f>
        <v>#REF!</v>
      </c>
      <c r="GK4" t="e">
        <f>AND(#REF!,"AAAAAHXv58A=")</f>
        <v>#REF!</v>
      </c>
      <c r="GL4" t="e">
        <f>AND(#REF!,"AAAAAHXv58E=")</f>
        <v>#REF!</v>
      </c>
      <c r="GM4" t="e">
        <f>AND(#REF!,"AAAAAHXv58I=")</f>
        <v>#REF!</v>
      </c>
      <c r="GN4" t="e">
        <f>AND(#REF!,"AAAAAHXv58M=")</f>
        <v>#REF!</v>
      </c>
      <c r="GO4" t="e">
        <f>AND(#REF!,"AAAAAHXv58Q=")</f>
        <v>#REF!</v>
      </c>
      <c r="GP4" t="e">
        <f>AND(#REF!,"AAAAAHXv58U=")</f>
        <v>#REF!</v>
      </c>
      <c r="GQ4" t="e">
        <f>AND(#REF!,"AAAAAHXv58Y=")</f>
        <v>#REF!</v>
      </c>
      <c r="GR4" t="e">
        <f>IF(#REF!,"AAAAAHXv58c=",0)</f>
        <v>#REF!</v>
      </c>
      <c r="GS4" t="e">
        <f>AND(#REF!,"AAAAAHXv58g=")</f>
        <v>#REF!</v>
      </c>
      <c r="GT4" t="e">
        <f>AND(#REF!,"AAAAAHXv58k=")</f>
        <v>#REF!</v>
      </c>
      <c r="GU4" t="e">
        <f>AND(#REF!,"AAAAAHXv58o=")</f>
        <v>#REF!</v>
      </c>
      <c r="GV4" t="e">
        <f>AND(#REF!,"AAAAAHXv58s=")</f>
        <v>#REF!</v>
      </c>
      <c r="GW4" t="e">
        <f>AND(#REF!,"AAAAAHXv58w=")</f>
        <v>#REF!</v>
      </c>
      <c r="GX4" t="e">
        <f>AND(#REF!,"AAAAAHXv580=")</f>
        <v>#REF!</v>
      </c>
      <c r="GY4" t="e">
        <f>AND(#REF!,"AAAAAHXv584=")</f>
        <v>#REF!</v>
      </c>
      <c r="GZ4" t="e">
        <f>AND(#REF!,"AAAAAHXv588=")</f>
        <v>#REF!</v>
      </c>
      <c r="HA4" t="e">
        <f>AND(#REF!,"AAAAAHXv59A=")</f>
        <v>#REF!</v>
      </c>
      <c r="HB4" t="e">
        <f>AND(#REF!,"AAAAAHXv59E=")</f>
        <v>#REF!</v>
      </c>
      <c r="HC4" t="e">
        <f>AND(#REF!,"AAAAAHXv59I=")</f>
        <v>#REF!</v>
      </c>
      <c r="HD4" t="e">
        <f>AND(#REF!,"AAAAAHXv59M=")</f>
        <v>#REF!</v>
      </c>
      <c r="HE4" t="e">
        <f>AND(#REF!,"AAAAAHXv59Q=")</f>
        <v>#REF!</v>
      </c>
      <c r="HF4" t="e">
        <f>AND(#REF!,"AAAAAHXv59U=")</f>
        <v>#REF!</v>
      </c>
      <c r="HG4" t="e">
        <f>AND(#REF!,"AAAAAHXv59Y=")</f>
        <v>#REF!</v>
      </c>
      <c r="HH4" t="e">
        <f>AND(#REF!,"AAAAAHXv59c=")</f>
        <v>#REF!</v>
      </c>
      <c r="HI4" t="e">
        <f>IF(#REF!,"AAAAAHXv59g=",0)</f>
        <v>#REF!</v>
      </c>
      <c r="HJ4" t="e">
        <f>AND(#REF!,"AAAAAHXv59k=")</f>
        <v>#REF!</v>
      </c>
      <c r="HK4" t="e">
        <f>AND(#REF!,"AAAAAHXv59o=")</f>
        <v>#REF!</v>
      </c>
      <c r="HL4" t="e">
        <f>AND(#REF!,"AAAAAHXv59s=")</f>
        <v>#REF!</v>
      </c>
      <c r="HM4" t="e">
        <f>AND(#REF!,"AAAAAHXv59w=")</f>
        <v>#REF!</v>
      </c>
      <c r="HN4" t="e">
        <f>AND(#REF!,"AAAAAHXv590=")</f>
        <v>#REF!</v>
      </c>
      <c r="HO4" t="e">
        <f>AND(#REF!,"AAAAAHXv594=")</f>
        <v>#REF!</v>
      </c>
      <c r="HP4" t="e">
        <f>AND(#REF!,"AAAAAHXv598=")</f>
        <v>#REF!</v>
      </c>
      <c r="HQ4" t="e">
        <f>AND(#REF!,"AAAAAHXv5+A=")</f>
        <v>#REF!</v>
      </c>
      <c r="HR4" t="e">
        <f>AND(#REF!,"AAAAAHXv5+E=")</f>
        <v>#REF!</v>
      </c>
      <c r="HS4" t="e">
        <f>AND(#REF!,"AAAAAHXv5+I=")</f>
        <v>#REF!</v>
      </c>
      <c r="HT4" t="e">
        <f>AND(#REF!,"AAAAAHXv5+M=")</f>
        <v>#REF!</v>
      </c>
      <c r="HU4" t="e">
        <f>AND(#REF!,"AAAAAHXv5+Q=")</f>
        <v>#REF!</v>
      </c>
      <c r="HV4" t="e">
        <f>AND(#REF!,"AAAAAHXv5+U=")</f>
        <v>#REF!</v>
      </c>
      <c r="HW4" t="e">
        <f>AND(#REF!,"AAAAAHXv5+Y=")</f>
        <v>#REF!</v>
      </c>
      <c r="HX4" t="e">
        <f>AND(#REF!,"AAAAAHXv5+c=")</f>
        <v>#REF!</v>
      </c>
      <c r="HY4" t="e">
        <f>AND(#REF!,"AAAAAHXv5+g=")</f>
        <v>#REF!</v>
      </c>
      <c r="HZ4" t="e">
        <f>IF(#REF!,"AAAAAHXv5+k=",0)</f>
        <v>#REF!</v>
      </c>
      <c r="IA4" t="e">
        <f>AND(#REF!,"AAAAAHXv5+o=")</f>
        <v>#REF!</v>
      </c>
      <c r="IB4" t="e">
        <f>AND(#REF!,"AAAAAHXv5+s=")</f>
        <v>#REF!</v>
      </c>
      <c r="IC4" t="e">
        <f>AND(#REF!,"AAAAAHXv5+w=")</f>
        <v>#REF!</v>
      </c>
      <c r="ID4" t="e">
        <f>AND(#REF!,"AAAAAHXv5+0=")</f>
        <v>#REF!</v>
      </c>
      <c r="IE4" t="e">
        <f>AND(#REF!,"AAAAAHXv5+4=")</f>
        <v>#REF!</v>
      </c>
      <c r="IF4" t="e">
        <f>AND(#REF!,"AAAAAHXv5+8=")</f>
        <v>#REF!</v>
      </c>
      <c r="IG4" t="e">
        <f>AND(#REF!,"AAAAAHXv5/A=")</f>
        <v>#REF!</v>
      </c>
      <c r="IH4" t="e">
        <f>AND(#REF!,"AAAAAHXv5/E=")</f>
        <v>#REF!</v>
      </c>
      <c r="II4" t="e">
        <f>AND(#REF!,"AAAAAHXv5/I=")</f>
        <v>#REF!</v>
      </c>
      <c r="IJ4" t="e">
        <f>AND(#REF!,"AAAAAHXv5/M=")</f>
        <v>#REF!</v>
      </c>
      <c r="IK4" t="e">
        <f>AND(#REF!,"AAAAAHXv5/Q=")</f>
        <v>#REF!</v>
      </c>
      <c r="IL4" t="e">
        <f>AND(#REF!,"AAAAAHXv5/U=")</f>
        <v>#REF!</v>
      </c>
      <c r="IM4" t="e">
        <f>AND(#REF!,"AAAAAHXv5/Y=")</f>
        <v>#REF!</v>
      </c>
      <c r="IN4" t="e">
        <f>AND(#REF!,"AAAAAHXv5/c=")</f>
        <v>#REF!</v>
      </c>
      <c r="IO4" t="e">
        <f>AND(#REF!,"AAAAAHXv5/g=")</f>
        <v>#REF!</v>
      </c>
      <c r="IP4" t="e">
        <f>AND(#REF!,"AAAAAHXv5/k=")</f>
        <v>#REF!</v>
      </c>
      <c r="IQ4" t="e">
        <f>IF(#REF!,"AAAAAHXv5/o=",0)</f>
        <v>#REF!</v>
      </c>
      <c r="IR4" t="e">
        <f>AND(#REF!,"AAAAAHXv5/s=")</f>
        <v>#REF!</v>
      </c>
      <c r="IS4" t="e">
        <f>AND(#REF!,"AAAAAHXv5/w=")</f>
        <v>#REF!</v>
      </c>
      <c r="IT4" t="e">
        <f>AND(#REF!,"AAAAAHXv5/0=")</f>
        <v>#REF!</v>
      </c>
      <c r="IU4" t="e">
        <f>AND(#REF!,"AAAAAHXv5/4=")</f>
        <v>#REF!</v>
      </c>
      <c r="IV4" t="e">
        <f>AND(#REF!,"AAAAAHXv5/8=")</f>
        <v>#REF!</v>
      </c>
    </row>
    <row r="5" spans="1:256" x14ac:dyDescent="0.25">
      <c r="A5" t="e">
        <f>AND(#REF!,"AAAAADfn/gA=")</f>
        <v>#REF!</v>
      </c>
      <c r="B5" t="e">
        <f>AND(#REF!,"AAAAADfn/gE=")</f>
        <v>#REF!</v>
      </c>
      <c r="C5" t="e">
        <f>AND(#REF!,"AAAAADfn/gI=")</f>
        <v>#REF!</v>
      </c>
      <c r="D5" t="e">
        <f>AND(#REF!,"AAAAADfn/gM=")</f>
        <v>#REF!</v>
      </c>
      <c r="E5" t="e">
        <f>AND(#REF!,"AAAAADfn/gQ=")</f>
        <v>#REF!</v>
      </c>
      <c r="F5" t="e">
        <f>AND(#REF!,"AAAAADfn/gU=")</f>
        <v>#REF!</v>
      </c>
      <c r="G5" t="e">
        <f>AND(#REF!,"AAAAADfn/gY=")</f>
        <v>#REF!</v>
      </c>
      <c r="H5" t="e">
        <f>AND(#REF!,"AAAAADfn/gc=")</f>
        <v>#REF!</v>
      </c>
      <c r="I5" t="e">
        <f>AND(#REF!,"AAAAADfn/gg=")</f>
        <v>#REF!</v>
      </c>
      <c r="J5" t="e">
        <f>AND(#REF!,"AAAAADfn/gk=")</f>
        <v>#REF!</v>
      </c>
      <c r="K5" t="e">
        <f>AND(#REF!,"AAAAADfn/go=")</f>
        <v>#REF!</v>
      </c>
      <c r="L5" t="e">
        <f>IF(#REF!,"AAAAADfn/gs=",0)</f>
        <v>#REF!</v>
      </c>
      <c r="M5" t="e">
        <f>AND(#REF!,"AAAAADfn/gw=")</f>
        <v>#REF!</v>
      </c>
      <c r="N5" t="e">
        <f>AND(#REF!,"AAAAADfn/g0=")</f>
        <v>#REF!</v>
      </c>
      <c r="O5" t="e">
        <f>AND(#REF!,"AAAAADfn/g4=")</f>
        <v>#REF!</v>
      </c>
      <c r="P5" t="e">
        <f>AND(#REF!,"AAAAADfn/g8=")</f>
        <v>#REF!</v>
      </c>
      <c r="Q5" t="e">
        <f>AND(#REF!,"AAAAADfn/hA=")</f>
        <v>#REF!</v>
      </c>
      <c r="R5" t="e">
        <f>AND(#REF!,"AAAAADfn/hE=")</f>
        <v>#REF!</v>
      </c>
      <c r="S5" t="e">
        <f>AND(#REF!,"AAAAADfn/hI=")</f>
        <v>#REF!</v>
      </c>
      <c r="T5" t="e">
        <f>AND(#REF!,"AAAAADfn/hM=")</f>
        <v>#REF!</v>
      </c>
      <c r="U5" t="e">
        <f>AND(#REF!,"AAAAADfn/hQ=")</f>
        <v>#REF!</v>
      </c>
      <c r="V5" t="e">
        <f>AND(#REF!,"AAAAADfn/hU=")</f>
        <v>#REF!</v>
      </c>
      <c r="W5" t="e">
        <f>AND(#REF!,"AAAAADfn/hY=")</f>
        <v>#REF!</v>
      </c>
      <c r="X5" t="e">
        <f>AND(#REF!,"AAAAADfn/hc=")</f>
        <v>#REF!</v>
      </c>
      <c r="Y5" t="e">
        <f>AND(#REF!,"AAAAADfn/hg=")</f>
        <v>#REF!</v>
      </c>
      <c r="Z5" t="e">
        <f>AND(#REF!,"AAAAADfn/hk=")</f>
        <v>#REF!</v>
      </c>
      <c r="AA5" t="e">
        <f>AND(#REF!,"AAAAADfn/ho=")</f>
        <v>#REF!</v>
      </c>
      <c r="AB5" t="e">
        <f>AND(#REF!,"AAAAADfn/hs=")</f>
        <v>#REF!</v>
      </c>
      <c r="AC5" t="e">
        <f>IF(#REF!,"AAAAADfn/hw=",0)</f>
        <v>#REF!</v>
      </c>
      <c r="AD5" t="e">
        <f>AND(#REF!,"AAAAADfn/h0=")</f>
        <v>#REF!</v>
      </c>
      <c r="AE5" t="e">
        <f>AND(#REF!,"AAAAADfn/h4=")</f>
        <v>#REF!</v>
      </c>
      <c r="AF5" t="e">
        <f>AND(#REF!,"AAAAADfn/h8=")</f>
        <v>#REF!</v>
      </c>
      <c r="AG5" t="e">
        <f>AND(#REF!,"AAAAADfn/iA=")</f>
        <v>#REF!</v>
      </c>
      <c r="AH5" t="e">
        <f>AND(#REF!,"AAAAADfn/iE=")</f>
        <v>#REF!</v>
      </c>
      <c r="AI5" t="e">
        <f>AND(#REF!,"AAAAADfn/iI=")</f>
        <v>#REF!</v>
      </c>
      <c r="AJ5" t="e">
        <f>AND(#REF!,"AAAAADfn/iM=")</f>
        <v>#REF!</v>
      </c>
      <c r="AK5" t="e">
        <f>AND(#REF!,"AAAAADfn/iQ=")</f>
        <v>#REF!</v>
      </c>
      <c r="AL5" t="e">
        <f>AND(#REF!,"AAAAADfn/iU=")</f>
        <v>#REF!</v>
      </c>
      <c r="AM5" t="e">
        <f>AND(#REF!,"AAAAADfn/iY=")</f>
        <v>#REF!</v>
      </c>
      <c r="AN5" t="e">
        <f>AND(#REF!,"AAAAADfn/ic=")</f>
        <v>#REF!</v>
      </c>
      <c r="AO5" t="e">
        <f>AND(#REF!,"AAAAADfn/ig=")</f>
        <v>#REF!</v>
      </c>
      <c r="AP5" t="e">
        <f>AND(#REF!,"AAAAADfn/ik=")</f>
        <v>#REF!</v>
      </c>
      <c r="AQ5" t="e">
        <f>AND(#REF!,"AAAAADfn/io=")</f>
        <v>#REF!</v>
      </c>
      <c r="AR5" t="e">
        <f>AND(#REF!,"AAAAADfn/is=")</f>
        <v>#REF!</v>
      </c>
      <c r="AS5" t="e">
        <f>AND(#REF!,"AAAAADfn/iw=")</f>
        <v>#REF!</v>
      </c>
      <c r="AT5" t="e">
        <f>IF(#REF!,"AAAAADfn/i0=",0)</f>
        <v>#REF!</v>
      </c>
      <c r="AU5" t="e">
        <f>AND(#REF!,"AAAAADfn/i4=")</f>
        <v>#REF!</v>
      </c>
      <c r="AV5" t="e">
        <f>AND(#REF!,"AAAAADfn/i8=")</f>
        <v>#REF!</v>
      </c>
      <c r="AW5" t="e">
        <f>AND(#REF!,"AAAAADfn/jA=")</f>
        <v>#REF!</v>
      </c>
      <c r="AX5" t="e">
        <f>AND(#REF!,"AAAAADfn/jE=")</f>
        <v>#REF!</v>
      </c>
      <c r="AY5" t="e">
        <f>AND(#REF!,"AAAAADfn/jI=")</f>
        <v>#REF!</v>
      </c>
      <c r="AZ5" t="e">
        <f>AND(#REF!,"AAAAADfn/jM=")</f>
        <v>#REF!</v>
      </c>
      <c r="BA5" t="e">
        <f>AND(#REF!,"AAAAADfn/jQ=")</f>
        <v>#REF!</v>
      </c>
      <c r="BB5" t="e">
        <f>AND(#REF!,"AAAAADfn/jU=")</f>
        <v>#REF!</v>
      </c>
      <c r="BC5" t="e">
        <f>AND(#REF!,"AAAAADfn/jY=")</f>
        <v>#REF!</v>
      </c>
      <c r="BD5" t="e">
        <f>AND(#REF!,"AAAAADfn/jc=")</f>
        <v>#REF!</v>
      </c>
      <c r="BE5" t="e">
        <f>AND(#REF!,"AAAAADfn/jg=")</f>
        <v>#REF!</v>
      </c>
      <c r="BF5" t="e">
        <f>AND(#REF!,"AAAAADfn/jk=")</f>
        <v>#REF!</v>
      </c>
      <c r="BG5" t="e">
        <f>AND(#REF!,"AAAAADfn/jo=")</f>
        <v>#REF!</v>
      </c>
      <c r="BH5" t="e">
        <f>AND(#REF!,"AAAAADfn/js=")</f>
        <v>#REF!</v>
      </c>
      <c r="BI5" t="e">
        <f>AND(#REF!,"AAAAADfn/jw=")</f>
        <v>#REF!</v>
      </c>
      <c r="BJ5" t="e">
        <f>AND(#REF!,"AAAAADfn/j0=")</f>
        <v>#REF!</v>
      </c>
      <c r="BK5" t="e">
        <f>IF(#REF!,"AAAAADfn/j4=",0)</f>
        <v>#REF!</v>
      </c>
      <c r="BL5" t="e">
        <f>AND(#REF!,"AAAAADfn/j8=")</f>
        <v>#REF!</v>
      </c>
      <c r="BM5" t="e">
        <f>AND(#REF!,"AAAAADfn/kA=")</f>
        <v>#REF!</v>
      </c>
      <c r="BN5" t="e">
        <f>AND(#REF!,"AAAAADfn/kE=")</f>
        <v>#REF!</v>
      </c>
      <c r="BO5" t="e">
        <f>AND(#REF!,"AAAAADfn/kI=")</f>
        <v>#REF!</v>
      </c>
      <c r="BP5" t="e">
        <f>AND(#REF!,"AAAAADfn/kM=")</f>
        <v>#REF!</v>
      </c>
      <c r="BQ5" t="e">
        <f>AND(#REF!,"AAAAADfn/kQ=")</f>
        <v>#REF!</v>
      </c>
      <c r="BR5" t="e">
        <f>AND(#REF!,"AAAAADfn/kU=")</f>
        <v>#REF!</v>
      </c>
      <c r="BS5" t="e">
        <f>AND(#REF!,"AAAAADfn/kY=")</f>
        <v>#REF!</v>
      </c>
      <c r="BT5" t="e">
        <f>AND(#REF!,"AAAAADfn/kc=")</f>
        <v>#REF!</v>
      </c>
      <c r="BU5" t="e">
        <f>AND(#REF!,"AAAAADfn/kg=")</f>
        <v>#REF!</v>
      </c>
      <c r="BV5" t="e">
        <f>AND(#REF!,"AAAAADfn/kk=")</f>
        <v>#REF!</v>
      </c>
      <c r="BW5" t="e">
        <f>AND(#REF!,"AAAAADfn/ko=")</f>
        <v>#REF!</v>
      </c>
      <c r="BX5" t="e">
        <f>AND(#REF!,"AAAAADfn/ks=")</f>
        <v>#REF!</v>
      </c>
      <c r="BY5" t="e">
        <f>AND(#REF!,"AAAAADfn/kw=")</f>
        <v>#REF!</v>
      </c>
      <c r="BZ5" t="e">
        <f>AND(#REF!,"AAAAADfn/k0=")</f>
        <v>#REF!</v>
      </c>
      <c r="CA5" t="e">
        <f>AND(#REF!,"AAAAADfn/k4=")</f>
        <v>#REF!</v>
      </c>
      <c r="CB5" t="e">
        <f>IF(#REF!,"AAAAADfn/k8=",0)</f>
        <v>#REF!</v>
      </c>
      <c r="CC5" t="e">
        <f>AND(#REF!,"AAAAADfn/lA=")</f>
        <v>#REF!</v>
      </c>
      <c r="CD5" t="e">
        <f>AND(#REF!,"AAAAADfn/lE=")</f>
        <v>#REF!</v>
      </c>
      <c r="CE5" t="e">
        <f>AND(#REF!,"AAAAADfn/lI=")</f>
        <v>#REF!</v>
      </c>
      <c r="CF5" t="e">
        <f>AND(#REF!,"AAAAADfn/lM=")</f>
        <v>#REF!</v>
      </c>
      <c r="CG5" t="e">
        <f>AND(#REF!,"AAAAADfn/lQ=")</f>
        <v>#REF!</v>
      </c>
      <c r="CH5" t="e">
        <f>AND(#REF!,"AAAAADfn/lU=")</f>
        <v>#REF!</v>
      </c>
      <c r="CI5" t="e">
        <f>AND(#REF!,"AAAAADfn/lY=")</f>
        <v>#REF!</v>
      </c>
      <c r="CJ5" t="e">
        <f>AND(#REF!,"AAAAADfn/lc=")</f>
        <v>#REF!</v>
      </c>
      <c r="CK5" t="e">
        <f>AND(#REF!,"AAAAADfn/lg=")</f>
        <v>#REF!</v>
      </c>
      <c r="CL5" t="e">
        <f>AND(#REF!,"AAAAADfn/lk=")</f>
        <v>#REF!</v>
      </c>
      <c r="CM5" t="e">
        <f>AND(#REF!,"AAAAADfn/lo=")</f>
        <v>#REF!</v>
      </c>
      <c r="CN5" t="e">
        <f>AND(#REF!,"AAAAADfn/ls=")</f>
        <v>#REF!</v>
      </c>
      <c r="CO5" t="e">
        <f>AND(#REF!,"AAAAADfn/lw=")</f>
        <v>#REF!</v>
      </c>
      <c r="CP5" t="e">
        <f>AND(#REF!,"AAAAADfn/l0=")</f>
        <v>#REF!</v>
      </c>
      <c r="CQ5" t="e">
        <f>AND(#REF!,"AAAAADfn/l4=")</f>
        <v>#REF!</v>
      </c>
      <c r="CR5" t="e">
        <f>AND(#REF!,"AAAAADfn/l8=")</f>
        <v>#REF!</v>
      </c>
      <c r="CS5" t="e">
        <f>IF(#REF!,"AAAAADfn/mA=",0)</f>
        <v>#REF!</v>
      </c>
      <c r="CT5" t="e">
        <f>AND(#REF!,"AAAAADfn/mE=")</f>
        <v>#REF!</v>
      </c>
      <c r="CU5" t="e">
        <f>AND(#REF!,"AAAAADfn/mI=")</f>
        <v>#REF!</v>
      </c>
      <c r="CV5" t="e">
        <f>AND(#REF!,"AAAAADfn/mM=")</f>
        <v>#REF!</v>
      </c>
      <c r="CW5" t="e">
        <f>AND(#REF!,"AAAAADfn/mQ=")</f>
        <v>#REF!</v>
      </c>
      <c r="CX5" t="e">
        <f>AND(#REF!,"AAAAADfn/mU=")</f>
        <v>#REF!</v>
      </c>
      <c r="CY5" t="e">
        <f>AND(#REF!,"AAAAADfn/mY=")</f>
        <v>#REF!</v>
      </c>
      <c r="CZ5" t="e">
        <f>AND(#REF!,"AAAAADfn/mc=")</f>
        <v>#REF!</v>
      </c>
      <c r="DA5" t="e">
        <f>AND(#REF!,"AAAAADfn/mg=")</f>
        <v>#REF!</v>
      </c>
      <c r="DB5" t="e">
        <f>AND(#REF!,"AAAAADfn/mk=")</f>
        <v>#REF!</v>
      </c>
      <c r="DC5" t="e">
        <f>AND(#REF!,"AAAAADfn/mo=")</f>
        <v>#REF!</v>
      </c>
      <c r="DD5" t="e">
        <f>AND(#REF!,"AAAAADfn/ms=")</f>
        <v>#REF!</v>
      </c>
      <c r="DE5" t="e">
        <f>AND(#REF!,"AAAAADfn/mw=")</f>
        <v>#REF!</v>
      </c>
      <c r="DF5" t="e">
        <f>AND(#REF!,"AAAAADfn/m0=")</f>
        <v>#REF!</v>
      </c>
      <c r="DG5" t="e">
        <f>AND(#REF!,"AAAAADfn/m4=")</f>
        <v>#REF!</v>
      </c>
      <c r="DH5" t="e">
        <f>AND(#REF!,"AAAAADfn/m8=")</f>
        <v>#REF!</v>
      </c>
      <c r="DI5" t="e">
        <f>AND(#REF!,"AAAAADfn/nA=")</f>
        <v>#REF!</v>
      </c>
      <c r="DJ5" t="e">
        <f>IF(#REF!,"AAAAADfn/nE=",0)</f>
        <v>#REF!</v>
      </c>
      <c r="DK5" t="e">
        <f>AND(#REF!,"AAAAADfn/nI=")</f>
        <v>#REF!</v>
      </c>
      <c r="DL5" t="e">
        <f>AND(#REF!,"AAAAADfn/nM=")</f>
        <v>#REF!</v>
      </c>
      <c r="DM5" t="e">
        <f>AND(#REF!,"AAAAADfn/nQ=")</f>
        <v>#REF!</v>
      </c>
      <c r="DN5" t="e">
        <f>AND(#REF!,"AAAAADfn/nU=")</f>
        <v>#REF!</v>
      </c>
      <c r="DO5" t="e">
        <f>AND(#REF!,"AAAAADfn/nY=")</f>
        <v>#REF!</v>
      </c>
      <c r="DP5" t="e">
        <f>AND(#REF!,"AAAAADfn/nc=")</f>
        <v>#REF!</v>
      </c>
      <c r="DQ5" t="e">
        <f>AND(#REF!,"AAAAADfn/ng=")</f>
        <v>#REF!</v>
      </c>
      <c r="DR5" t="e">
        <f>AND(#REF!,"AAAAADfn/nk=")</f>
        <v>#REF!</v>
      </c>
      <c r="DS5" t="e">
        <f>AND(#REF!,"AAAAADfn/no=")</f>
        <v>#REF!</v>
      </c>
      <c r="DT5" t="e">
        <f>AND(#REF!,"AAAAADfn/ns=")</f>
        <v>#REF!</v>
      </c>
      <c r="DU5" t="e">
        <f>AND(#REF!,"AAAAADfn/nw=")</f>
        <v>#REF!</v>
      </c>
      <c r="DV5" t="e">
        <f>AND(#REF!,"AAAAADfn/n0=")</f>
        <v>#REF!</v>
      </c>
      <c r="DW5" t="e">
        <f>AND(#REF!,"AAAAADfn/n4=")</f>
        <v>#REF!</v>
      </c>
      <c r="DX5" t="e">
        <f>AND(#REF!,"AAAAADfn/n8=")</f>
        <v>#REF!</v>
      </c>
      <c r="DY5" t="e">
        <f>AND(#REF!,"AAAAADfn/oA=")</f>
        <v>#REF!</v>
      </c>
      <c r="DZ5" t="e">
        <f>AND(#REF!,"AAAAADfn/oE=")</f>
        <v>#REF!</v>
      </c>
      <c r="EA5" t="e">
        <f>IF(#REF!,"AAAAADfn/oI=",0)</f>
        <v>#REF!</v>
      </c>
      <c r="EB5" t="e">
        <f>AND(#REF!,"AAAAADfn/oM=")</f>
        <v>#REF!</v>
      </c>
      <c r="EC5" t="e">
        <f>AND(#REF!,"AAAAADfn/oQ=")</f>
        <v>#REF!</v>
      </c>
      <c r="ED5" t="e">
        <f>AND(#REF!,"AAAAADfn/oU=")</f>
        <v>#REF!</v>
      </c>
      <c r="EE5" t="e">
        <f>AND(#REF!,"AAAAADfn/oY=")</f>
        <v>#REF!</v>
      </c>
      <c r="EF5" t="e">
        <f>AND(#REF!,"AAAAADfn/oc=")</f>
        <v>#REF!</v>
      </c>
      <c r="EG5" t="e">
        <f>AND(#REF!,"AAAAADfn/og=")</f>
        <v>#REF!</v>
      </c>
      <c r="EH5" t="e">
        <f>AND(#REF!,"AAAAADfn/ok=")</f>
        <v>#REF!</v>
      </c>
      <c r="EI5" t="e">
        <f>AND(#REF!,"AAAAADfn/oo=")</f>
        <v>#REF!</v>
      </c>
      <c r="EJ5" t="e">
        <f>AND(#REF!,"AAAAADfn/os=")</f>
        <v>#REF!</v>
      </c>
      <c r="EK5" t="e">
        <f>AND(#REF!,"AAAAADfn/ow=")</f>
        <v>#REF!</v>
      </c>
      <c r="EL5" t="e">
        <f>AND(#REF!,"AAAAADfn/o0=")</f>
        <v>#REF!</v>
      </c>
      <c r="EM5" t="e">
        <f>AND(#REF!,"AAAAADfn/o4=")</f>
        <v>#REF!</v>
      </c>
      <c r="EN5" t="e">
        <f>AND(#REF!,"AAAAADfn/o8=")</f>
        <v>#REF!</v>
      </c>
      <c r="EO5" t="e">
        <f>AND(#REF!,"AAAAADfn/pA=")</f>
        <v>#REF!</v>
      </c>
      <c r="EP5" t="e">
        <f>AND(#REF!,"AAAAADfn/pE=")</f>
        <v>#REF!</v>
      </c>
      <c r="EQ5" t="e">
        <f>AND(#REF!,"AAAAADfn/pI=")</f>
        <v>#REF!</v>
      </c>
      <c r="ER5" t="e">
        <f>IF(#REF!,"AAAAADfn/pM=",0)</f>
        <v>#REF!</v>
      </c>
      <c r="ES5" t="e">
        <f>AND(#REF!,"AAAAADfn/pQ=")</f>
        <v>#REF!</v>
      </c>
      <c r="ET5" t="e">
        <f>AND(#REF!,"AAAAADfn/pU=")</f>
        <v>#REF!</v>
      </c>
      <c r="EU5" t="e">
        <f>AND(#REF!,"AAAAADfn/pY=")</f>
        <v>#REF!</v>
      </c>
      <c r="EV5" t="e">
        <f>AND(#REF!,"AAAAADfn/pc=")</f>
        <v>#REF!</v>
      </c>
      <c r="EW5" t="e">
        <f>AND(#REF!,"AAAAADfn/pg=")</f>
        <v>#REF!</v>
      </c>
      <c r="EX5" t="e">
        <f>AND(#REF!,"AAAAADfn/pk=")</f>
        <v>#REF!</v>
      </c>
      <c r="EY5" t="e">
        <f>AND(#REF!,"AAAAADfn/po=")</f>
        <v>#REF!</v>
      </c>
      <c r="EZ5" t="e">
        <f>AND(#REF!,"AAAAADfn/ps=")</f>
        <v>#REF!</v>
      </c>
      <c r="FA5" t="e">
        <f>AND(#REF!,"AAAAADfn/pw=")</f>
        <v>#REF!</v>
      </c>
      <c r="FB5" t="e">
        <f>AND(#REF!,"AAAAADfn/p0=")</f>
        <v>#REF!</v>
      </c>
      <c r="FC5" t="e">
        <f>AND(#REF!,"AAAAADfn/p4=")</f>
        <v>#REF!</v>
      </c>
      <c r="FD5" t="e">
        <f>AND(#REF!,"AAAAADfn/p8=")</f>
        <v>#REF!</v>
      </c>
      <c r="FE5" t="e">
        <f>AND(#REF!,"AAAAADfn/qA=")</f>
        <v>#REF!</v>
      </c>
      <c r="FF5" t="e">
        <f>AND(#REF!,"AAAAADfn/qE=")</f>
        <v>#REF!</v>
      </c>
      <c r="FG5" t="e">
        <f>AND(#REF!,"AAAAADfn/qI=")</f>
        <v>#REF!</v>
      </c>
      <c r="FH5" t="e">
        <f>AND(#REF!,"AAAAADfn/qM=")</f>
        <v>#REF!</v>
      </c>
      <c r="FI5" t="e">
        <f>IF(#REF!,"AAAAADfn/qQ=",0)</f>
        <v>#REF!</v>
      </c>
      <c r="FJ5" t="e">
        <f>AND(#REF!,"AAAAADfn/qU=")</f>
        <v>#REF!</v>
      </c>
      <c r="FK5" t="e">
        <f>AND(#REF!,"AAAAADfn/qY=")</f>
        <v>#REF!</v>
      </c>
      <c r="FL5" t="e">
        <f>AND(#REF!,"AAAAADfn/qc=")</f>
        <v>#REF!</v>
      </c>
      <c r="FM5" t="e">
        <f>AND(#REF!,"AAAAADfn/qg=")</f>
        <v>#REF!</v>
      </c>
      <c r="FN5" t="e">
        <f>AND(#REF!,"AAAAADfn/qk=")</f>
        <v>#REF!</v>
      </c>
      <c r="FO5" t="e">
        <f>AND(#REF!,"AAAAADfn/qo=")</f>
        <v>#REF!</v>
      </c>
      <c r="FP5" t="e">
        <f>AND(#REF!,"AAAAADfn/qs=")</f>
        <v>#REF!</v>
      </c>
      <c r="FQ5" t="e">
        <f>AND(#REF!,"AAAAADfn/qw=")</f>
        <v>#REF!</v>
      </c>
      <c r="FR5" t="e">
        <f>AND(#REF!,"AAAAADfn/q0=")</f>
        <v>#REF!</v>
      </c>
      <c r="FS5" t="e">
        <f>AND(#REF!,"AAAAADfn/q4=")</f>
        <v>#REF!</v>
      </c>
      <c r="FT5" t="e">
        <f>AND(#REF!,"AAAAADfn/q8=")</f>
        <v>#REF!</v>
      </c>
      <c r="FU5" t="e">
        <f>AND(#REF!,"AAAAADfn/rA=")</f>
        <v>#REF!</v>
      </c>
      <c r="FV5" t="e">
        <f>AND(#REF!,"AAAAADfn/rE=")</f>
        <v>#REF!</v>
      </c>
      <c r="FW5" t="e">
        <f>AND(#REF!,"AAAAADfn/rI=")</f>
        <v>#REF!</v>
      </c>
      <c r="FX5" t="e">
        <f>AND(#REF!,"AAAAADfn/rM=")</f>
        <v>#REF!</v>
      </c>
      <c r="FY5" t="e">
        <f>AND(#REF!,"AAAAADfn/rQ=")</f>
        <v>#REF!</v>
      </c>
      <c r="FZ5" t="e">
        <f>IF(#REF!,"AAAAADfn/rU=",0)</f>
        <v>#REF!</v>
      </c>
      <c r="GA5" t="e">
        <f>AND(#REF!,"AAAAADfn/rY=")</f>
        <v>#REF!</v>
      </c>
      <c r="GB5" t="e">
        <f>AND(#REF!,"AAAAADfn/rc=")</f>
        <v>#REF!</v>
      </c>
      <c r="GC5" t="e">
        <f>AND(#REF!,"AAAAADfn/rg=")</f>
        <v>#REF!</v>
      </c>
      <c r="GD5" t="e">
        <f>AND(#REF!,"AAAAADfn/rk=")</f>
        <v>#REF!</v>
      </c>
      <c r="GE5" t="e">
        <f>AND(#REF!,"AAAAADfn/ro=")</f>
        <v>#REF!</v>
      </c>
      <c r="GF5" t="e">
        <f>AND(#REF!,"AAAAADfn/rs=")</f>
        <v>#REF!</v>
      </c>
      <c r="GG5" t="e">
        <f>AND(#REF!,"AAAAADfn/rw=")</f>
        <v>#REF!</v>
      </c>
      <c r="GH5" t="e">
        <f>AND(#REF!,"AAAAADfn/r0=")</f>
        <v>#REF!</v>
      </c>
      <c r="GI5" t="e">
        <f>AND(#REF!,"AAAAADfn/r4=")</f>
        <v>#REF!</v>
      </c>
      <c r="GJ5" t="e">
        <f>AND(#REF!,"AAAAADfn/r8=")</f>
        <v>#REF!</v>
      </c>
      <c r="GK5" t="e">
        <f>AND(#REF!,"AAAAADfn/sA=")</f>
        <v>#REF!</v>
      </c>
      <c r="GL5" t="e">
        <f>AND(#REF!,"AAAAADfn/sE=")</f>
        <v>#REF!</v>
      </c>
      <c r="GM5" t="e">
        <f>AND(#REF!,"AAAAADfn/sI=")</f>
        <v>#REF!</v>
      </c>
      <c r="GN5" t="e">
        <f>AND(#REF!,"AAAAADfn/sM=")</f>
        <v>#REF!</v>
      </c>
      <c r="GO5" t="e">
        <f>AND(#REF!,"AAAAADfn/sQ=")</f>
        <v>#REF!</v>
      </c>
      <c r="GP5" t="e">
        <f>AND(#REF!,"AAAAADfn/sU=")</f>
        <v>#REF!</v>
      </c>
      <c r="GQ5" t="e">
        <f>IF(#REF!,"AAAAADfn/sY=",0)</f>
        <v>#REF!</v>
      </c>
      <c r="GR5" t="e">
        <f>AND(#REF!,"AAAAADfn/sc=")</f>
        <v>#REF!</v>
      </c>
      <c r="GS5" t="e">
        <f>AND(#REF!,"AAAAADfn/sg=")</f>
        <v>#REF!</v>
      </c>
      <c r="GT5" t="e">
        <f>AND(#REF!,"AAAAADfn/sk=")</f>
        <v>#REF!</v>
      </c>
      <c r="GU5" t="e">
        <f>AND(#REF!,"AAAAADfn/so=")</f>
        <v>#REF!</v>
      </c>
      <c r="GV5" t="e">
        <f>AND(#REF!,"AAAAADfn/ss=")</f>
        <v>#REF!</v>
      </c>
      <c r="GW5" t="e">
        <f>AND(#REF!,"AAAAADfn/sw=")</f>
        <v>#REF!</v>
      </c>
      <c r="GX5" t="e">
        <f>AND(#REF!,"AAAAADfn/s0=")</f>
        <v>#REF!</v>
      </c>
      <c r="GY5" t="e">
        <f>AND(#REF!,"AAAAADfn/s4=")</f>
        <v>#REF!</v>
      </c>
      <c r="GZ5" t="e">
        <f>AND(#REF!,"AAAAADfn/s8=")</f>
        <v>#REF!</v>
      </c>
      <c r="HA5" t="e">
        <f>AND(#REF!,"AAAAADfn/tA=")</f>
        <v>#REF!</v>
      </c>
      <c r="HB5" t="e">
        <f>AND(#REF!,"AAAAADfn/tE=")</f>
        <v>#REF!</v>
      </c>
      <c r="HC5" t="e">
        <f>AND(#REF!,"AAAAADfn/tI=")</f>
        <v>#REF!</v>
      </c>
      <c r="HD5" t="e">
        <f>AND(#REF!,"AAAAADfn/tM=")</f>
        <v>#REF!</v>
      </c>
      <c r="HE5" t="e">
        <f>AND(#REF!,"AAAAADfn/tQ=")</f>
        <v>#REF!</v>
      </c>
      <c r="HF5" t="e">
        <f>AND(#REF!,"AAAAADfn/tU=")</f>
        <v>#REF!</v>
      </c>
      <c r="HG5" t="e">
        <f>AND(#REF!,"AAAAADfn/tY=")</f>
        <v>#REF!</v>
      </c>
      <c r="HH5" t="e">
        <f>IF(#REF!,"AAAAADfn/tc=",0)</f>
        <v>#REF!</v>
      </c>
      <c r="HI5" t="e">
        <f>AND(#REF!,"AAAAADfn/tg=")</f>
        <v>#REF!</v>
      </c>
      <c r="HJ5" t="e">
        <f>AND(#REF!,"AAAAADfn/tk=")</f>
        <v>#REF!</v>
      </c>
      <c r="HK5" t="e">
        <f>AND(#REF!,"AAAAADfn/to=")</f>
        <v>#REF!</v>
      </c>
      <c r="HL5" t="e">
        <f>AND(#REF!,"AAAAADfn/ts=")</f>
        <v>#REF!</v>
      </c>
      <c r="HM5" t="e">
        <f>AND(#REF!,"AAAAADfn/tw=")</f>
        <v>#REF!</v>
      </c>
      <c r="HN5" t="e">
        <f>AND(#REF!,"AAAAADfn/t0=")</f>
        <v>#REF!</v>
      </c>
      <c r="HO5" t="e">
        <f>AND(#REF!,"AAAAADfn/t4=")</f>
        <v>#REF!</v>
      </c>
      <c r="HP5" t="e">
        <f>AND(#REF!,"AAAAADfn/t8=")</f>
        <v>#REF!</v>
      </c>
      <c r="HQ5" t="e">
        <f>AND(#REF!,"AAAAADfn/uA=")</f>
        <v>#REF!</v>
      </c>
      <c r="HR5" t="e">
        <f>AND(#REF!,"AAAAADfn/uE=")</f>
        <v>#REF!</v>
      </c>
      <c r="HS5" t="e">
        <f>AND(#REF!,"AAAAADfn/uI=")</f>
        <v>#REF!</v>
      </c>
      <c r="HT5" t="e">
        <f>AND(#REF!,"AAAAADfn/uM=")</f>
        <v>#REF!</v>
      </c>
      <c r="HU5" t="e">
        <f>AND(#REF!,"AAAAADfn/uQ=")</f>
        <v>#REF!</v>
      </c>
      <c r="HV5" t="e">
        <f>AND(#REF!,"AAAAADfn/uU=")</f>
        <v>#REF!</v>
      </c>
      <c r="HW5" t="e">
        <f>AND(#REF!,"AAAAADfn/uY=")</f>
        <v>#REF!</v>
      </c>
      <c r="HX5" t="e">
        <f>AND(#REF!,"AAAAADfn/uc=")</f>
        <v>#REF!</v>
      </c>
      <c r="HY5" t="e">
        <f>IF(#REF!,"AAAAADfn/ug=",0)</f>
        <v>#REF!</v>
      </c>
      <c r="HZ5" t="e">
        <f>AND(#REF!,"AAAAADfn/uk=")</f>
        <v>#REF!</v>
      </c>
      <c r="IA5" t="e">
        <f>AND(#REF!,"AAAAADfn/uo=")</f>
        <v>#REF!</v>
      </c>
      <c r="IB5" t="e">
        <f>AND(#REF!,"AAAAADfn/us=")</f>
        <v>#REF!</v>
      </c>
      <c r="IC5" t="e">
        <f>AND(#REF!,"AAAAADfn/uw=")</f>
        <v>#REF!</v>
      </c>
      <c r="ID5" t="e">
        <f>AND(#REF!,"AAAAADfn/u0=")</f>
        <v>#REF!</v>
      </c>
      <c r="IE5" t="e">
        <f>AND(#REF!,"AAAAADfn/u4=")</f>
        <v>#REF!</v>
      </c>
      <c r="IF5" t="e">
        <f>AND(#REF!,"AAAAADfn/u8=")</f>
        <v>#REF!</v>
      </c>
      <c r="IG5" t="e">
        <f>AND(#REF!,"AAAAADfn/vA=")</f>
        <v>#REF!</v>
      </c>
      <c r="IH5" t="e">
        <f>AND(#REF!,"AAAAADfn/vE=")</f>
        <v>#REF!</v>
      </c>
      <c r="II5" t="e">
        <f>AND(#REF!,"AAAAADfn/vI=")</f>
        <v>#REF!</v>
      </c>
      <c r="IJ5" t="e">
        <f>AND(#REF!,"AAAAADfn/vM=")</f>
        <v>#REF!</v>
      </c>
      <c r="IK5" t="e">
        <f>AND(#REF!,"AAAAADfn/vQ=")</f>
        <v>#REF!</v>
      </c>
      <c r="IL5" t="e">
        <f>AND(#REF!,"AAAAADfn/vU=")</f>
        <v>#REF!</v>
      </c>
      <c r="IM5" t="e">
        <f>AND(#REF!,"AAAAADfn/vY=")</f>
        <v>#REF!</v>
      </c>
      <c r="IN5" t="e">
        <f>AND(#REF!,"AAAAADfn/vc=")</f>
        <v>#REF!</v>
      </c>
      <c r="IO5" t="e">
        <f>AND(#REF!,"AAAAADfn/vg=")</f>
        <v>#REF!</v>
      </c>
      <c r="IP5" t="e">
        <f>IF(#REF!,"AAAAADfn/vk=",0)</f>
        <v>#REF!</v>
      </c>
      <c r="IQ5" t="e">
        <f>AND(#REF!,"AAAAADfn/vo=")</f>
        <v>#REF!</v>
      </c>
      <c r="IR5" t="e">
        <f>AND(#REF!,"AAAAADfn/vs=")</f>
        <v>#REF!</v>
      </c>
      <c r="IS5" t="e">
        <f>AND(#REF!,"AAAAADfn/vw=")</f>
        <v>#REF!</v>
      </c>
      <c r="IT5" t="e">
        <f>AND(#REF!,"AAAAADfn/v0=")</f>
        <v>#REF!</v>
      </c>
      <c r="IU5" t="e">
        <f>AND(#REF!,"AAAAADfn/v4=")</f>
        <v>#REF!</v>
      </c>
      <c r="IV5" t="e">
        <f>AND(#REF!,"AAAAADfn/v8=")</f>
        <v>#REF!</v>
      </c>
    </row>
    <row r="6" spans="1:256" x14ac:dyDescent="0.25">
      <c r="A6" t="e">
        <f>AND(#REF!,"AAAAAG/bvwA=")</f>
        <v>#REF!</v>
      </c>
      <c r="B6" t="e">
        <f>AND(#REF!,"AAAAAG/bvwE=")</f>
        <v>#REF!</v>
      </c>
      <c r="C6" t="e">
        <f>AND(#REF!,"AAAAAG/bvwI=")</f>
        <v>#REF!</v>
      </c>
      <c r="D6" t="e">
        <f>AND(#REF!,"AAAAAG/bvwM=")</f>
        <v>#REF!</v>
      </c>
      <c r="E6" t="e">
        <f>AND(#REF!,"AAAAAG/bvwQ=")</f>
        <v>#REF!</v>
      </c>
      <c r="F6" t="e">
        <f>AND(#REF!,"AAAAAG/bvwU=")</f>
        <v>#REF!</v>
      </c>
      <c r="G6" t="e">
        <f>AND(#REF!,"AAAAAG/bvwY=")</f>
        <v>#REF!</v>
      </c>
      <c r="H6" t="e">
        <f>AND(#REF!,"AAAAAG/bvwc=")</f>
        <v>#REF!</v>
      </c>
      <c r="I6" t="e">
        <f>AND(#REF!,"AAAAAG/bvwg=")</f>
        <v>#REF!</v>
      </c>
      <c r="J6" t="e">
        <f>AND(#REF!,"AAAAAG/bvwk=")</f>
        <v>#REF!</v>
      </c>
      <c r="K6" t="e">
        <f>IF(#REF!,"AAAAAG/bvwo=",0)</f>
        <v>#REF!</v>
      </c>
      <c r="L6" t="e">
        <f>AND(#REF!,"AAAAAG/bvws=")</f>
        <v>#REF!</v>
      </c>
      <c r="M6" t="e">
        <f>AND(#REF!,"AAAAAG/bvww=")</f>
        <v>#REF!</v>
      </c>
      <c r="N6" t="e">
        <f>AND(#REF!,"AAAAAG/bvw0=")</f>
        <v>#REF!</v>
      </c>
      <c r="O6" t="e">
        <f>AND(#REF!,"AAAAAG/bvw4=")</f>
        <v>#REF!</v>
      </c>
      <c r="P6" t="e">
        <f>AND(#REF!,"AAAAAG/bvw8=")</f>
        <v>#REF!</v>
      </c>
      <c r="Q6" t="e">
        <f>AND(#REF!,"AAAAAG/bvxA=")</f>
        <v>#REF!</v>
      </c>
      <c r="R6" t="e">
        <f>AND(#REF!,"AAAAAG/bvxE=")</f>
        <v>#REF!</v>
      </c>
      <c r="S6" t="e">
        <f>AND(#REF!,"AAAAAG/bvxI=")</f>
        <v>#REF!</v>
      </c>
      <c r="T6" t="e">
        <f>AND(#REF!,"AAAAAG/bvxM=")</f>
        <v>#REF!</v>
      </c>
      <c r="U6" t="e">
        <f>AND(#REF!,"AAAAAG/bvxQ=")</f>
        <v>#REF!</v>
      </c>
      <c r="V6" t="e">
        <f>AND(#REF!,"AAAAAG/bvxU=")</f>
        <v>#REF!</v>
      </c>
      <c r="W6" t="e">
        <f>AND(#REF!,"AAAAAG/bvxY=")</f>
        <v>#REF!</v>
      </c>
      <c r="X6" t="e">
        <f>AND(#REF!,"AAAAAG/bvxc=")</f>
        <v>#REF!</v>
      </c>
      <c r="Y6" t="e">
        <f>AND(#REF!,"AAAAAG/bvxg=")</f>
        <v>#REF!</v>
      </c>
      <c r="Z6" t="e">
        <f>AND(#REF!,"AAAAAG/bvxk=")</f>
        <v>#REF!</v>
      </c>
      <c r="AA6" t="e">
        <f>AND(#REF!,"AAAAAG/bvxo=")</f>
        <v>#REF!</v>
      </c>
      <c r="AB6" t="e">
        <f>IF(#REF!,"AAAAAG/bvxs=",0)</f>
        <v>#REF!</v>
      </c>
      <c r="AC6" t="e">
        <f>AND(#REF!,"AAAAAG/bvxw=")</f>
        <v>#REF!</v>
      </c>
      <c r="AD6" t="e">
        <f>AND(#REF!,"AAAAAG/bvx0=")</f>
        <v>#REF!</v>
      </c>
      <c r="AE6" t="e">
        <f>AND(#REF!,"AAAAAG/bvx4=")</f>
        <v>#REF!</v>
      </c>
      <c r="AF6" t="e">
        <f>AND(#REF!,"AAAAAG/bvx8=")</f>
        <v>#REF!</v>
      </c>
      <c r="AG6" t="e">
        <f>AND(#REF!,"AAAAAG/bvyA=")</f>
        <v>#REF!</v>
      </c>
      <c r="AH6" t="e">
        <f>AND(#REF!,"AAAAAG/bvyE=")</f>
        <v>#REF!</v>
      </c>
      <c r="AI6" t="e">
        <f>AND(#REF!,"AAAAAG/bvyI=")</f>
        <v>#REF!</v>
      </c>
      <c r="AJ6" t="e">
        <f>AND(#REF!,"AAAAAG/bvyM=")</f>
        <v>#REF!</v>
      </c>
      <c r="AK6" t="e">
        <f>AND(#REF!,"AAAAAG/bvyQ=")</f>
        <v>#REF!</v>
      </c>
      <c r="AL6" t="e">
        <f>AND(#REF!,"AAAAAG/bvyU=")</f>
        <v>#REF!</v>
      </c>
      <c r="AM6" t="e">
        <f>AND(#REF!,"AAAAAG/bvyY=")</f>
        <v>#REF!</v>
      </c>
      <c r="AN6" t="e">
        <f>AND(#REF!,"AAAAAG/bvyc=")</f>
        <v>#REF!</v>
      </c>
      <c r="AO6" t="e">
        <f>AND(#REF!,"AAAAAG/bvyg=")</f>
        <v>#REF!</v>
      </c>
      <c r="AP6" t="e">
        <f>AND(#REF!,"AAAAAG/bvyk=")</f>
        <v>#REF!</v>
      </c>
      <c r="AQ6" t="e">
        <f>AND(#REF!,"AAAAAG/bvyo=")</f>
        <v>#REF!</v>
      </c>
      <c r="AR6" t="e">
        <f>AND(#REF!,"AAAAAG/bvys=")</f>
        <v>#REF!</v>
      </c>
      <c r="AS6" t="e">
        <f>IF(#REF!,"AAAAAG/bvyw=",0)</f>
        <v>#REF!</v>
      </c>
      <c r="AT6" t="e">
        <f>AND(#REF!,"AAAAAG/bvy0=")</f>
        <v>#REF!</v>
      </c>
      <c r="AU6" t="e">
        <f>AND(#REF!,"AAAAAG/bvy4=")</f>
        <v>#REF!</v>
      </c>
      <c r="AV6" t="e">
        <f>AND(#REF!,"AAAAAG/bvy8=")</f>
        <v>#REF!</v>
      </c>
      <c r="AW6" t="e">
        <f>AND(#REF!,"AAAAAG/bvzA=")</f>
        <v>#REF!</v>
      </c>
      <c r="AX6" t="e">
        <f>AND(#REF!,"AAAAAG/bvzE=")</f>
        <v>#REF!</v>
      </c>
      <c r="AY6" t="e">
        <f>AND(#REF!,"AAAAAG/bvzI=")</f>
        <v>#REF!</v>
      </c>
      <c r="AZ6" t="e">
        <f>AND(#REF!,"AAAAAG/bvzM=")</f>
        <v>#REF!</v>
      </c>
      <c r="BA6" t="e">
        <f>AND(#REF!,"AAAAAG/bvzQ=")</f>
        <v>#REF!</v>
      </c>
      <c r="BB6" t="e">
        <f>AND(#REF!,"AAAAAG/bvzU=")</f>
        <v>#REF!</v>
      </c>
      <c r="BC6" t="e">
        <f>AND(#REF!,"AAAAAG/bvzY=")</f>
        <v>#REF!</v>
      </c>
      <c r="BD6" t="e">
        <f>AND(#REF!,"AAAAAG/bvzc=")</f>
        <v>#REF!</v>
      </c>
      <c r="BE6" t="e">
        <f>AND(#REF!,"AAAAAG/bvzg=")</f>
        <v>#REF!</v>
      </c>
      <c r="BF6" t="e">
        <f>AND(#REF!,"AAAAAG/bvzk=")</f>
        <v>#REF!</v>
      </c>
      <c r="BG6" t="e">
        <f>AND(#REF!,"AAAAAG/bvzo=")</f>
        <v>#REF!</v>
      </c>
      <c r="BH6" t="e">
        <f>AND(#REF!,"AAAAAG/bvzs=")</f>
        <v>#REF!</v>
      </c>
      <c r="BI6" t="e">
        <f>AND(#REF!,"AAAAAG/bvzw=")</f>
        <v>#REF!</v>
      </c>
      <c r="BJ6" t="e">
        <f>IF(#REF!,"AAAAAG/bvz0=",0)</f>
        <v>#REF!</v>
      </c>
      <c r="BK6" t="e">
        <f>AND(#REF!,"AAAAAG/bvz4=")</f>
        <v>#REF!</v>
      </c>
      <c r="BL6" t="e">
        <f>AND(#REF!,"AAAAAG/bvz8=")</f>
        <v>#REF!</v>
      </c>
      <c r="BM6" t="e">
        <f>AND(#REF!,"AAAAAG/bv0A=")</f>
        <v>#REF!</v>
      </c>
      <c r="BN6" t="e">
        <f>AND(#REF!,"AAAAAG/bv0E=")</f>
        <v>#REF!</v>
      </c>
      <c r="BO6" t="e">
        <f>AND(#REF!,"AAAAAG/bv0I=")</f>
        <v>#REF!</v>
      </c>
      <c r="BP6" t="e">
        <f>AND(#REF!,"AAAAAG/bv0M=")</f>
        <v>#REF!</v>
      </c>
      <c r="BQ6" t="e">
        <f>AND(#REF!,"AAAAAG/bv0Q=")</f>
        <v>#REF!</v>
      </c>
      <c r="BR6" t="e">
        <f>AND(#REF!,"AAAAAG/bv0U=")</f>
        <v>#REF!</v>
      </c>
      <c r="BS6" t="e">
        <f>AND(#REF!,"AAAAAG/bv0Y=")</f>
        <v>#REF!</v>
      </c>
      <c r="BT6" t="e">
        <f>AND(#REF!,"AAAAAG/bv0c=")</f>
        <v>#REF!</v>
      </c>
      <c r="BU6" t="e">
        <f>AND(#REF!,"AAAAAG/bv0g=")</f>
        <v>#REF!</v>
      </c>
      <c r="BV6" t="e">
        <f>AND(#REF!,"AAAAAG/bv0k=")</f>
        <v>#REF!</v>
      </c>
      <c r="BW6" t="e">
        <f>AND(#REF!,"AAAAAG/bv0o=")</f>
        <v>#REF!</v>
      </c>
      <c r="BX6" t="e">
        <f>AND(#REF!,"AAAAAG/bv0s=")</f>
        <v>#REF!</v>
      </c>
      <c r="BY6" t="e">
        <f>AND(#REF!,"AAAAAG/bv0w=")</f>
        <v>#REF!</v>
      </c>
      <c r="BZ6" t="e">
        <f>AND(#REF!,"AAAAAG/bv00=")</f>
        <v>#REF!</v>
      </c>
      <c r="CA6" t="e">
        <f>IF(#REF!,"AAAAAG/bv04=",0)</f>
        <v>#REF!</v>
      </c>
      <c r="CB6" t="e">
        <f>AND(#REF!,"AAAAAG/bv08=")</f>
        <v>#REF!</v>
      </c>
      <c r="CC6" t="e">
        <f>AND(#REF!,"AAAAAG/bv1A=")</f>
        <v>#REF!</v>
      </c>
      <c r="CD6" t="e">
        <f>AND(#REF!,"AAAAAG/bv1E=")</f>
        <v>#REF!</v>
      </c>
      <c r="CE6" t="e">
        <f>AND(#REF!,"AAAAAG/bv1I=")</f>
        <v>#REF!</v>
      </c>
      <c r="CF6" t="e">
        <f>AND(#REF!,"AAAAAG/bv1M=")</f>
        <v>#REF!</v>
      </c>
      <c r="CG6" t="e">
        <f>AND(#REF!,"AAAAAG/bv1Q=")</f>
        <v>#REF!</v>
      </c>
      <c r="CH6" t="e">
        <f>AND(#REF!,"AAAAAG/bv1U=")</f>
        <v>#REF!</v>
      </c>
      <c r="CI6" t="e">
        <f>AND(#REF!,"AAAAAG/bv1Y=")</f>
        <v>#REF!</v>
      </c>
      <c r="CJ6" t="e">
        <f>AND(#REF!,"AAAAAG/bv1c=")</f>
        <v>#REF!</v>
      </c>
      <c r="CK6" t="e">
        <f>AND(#REF!,"AAAAAG/bv1g=")</f>
        <v>#REF!</v>
      </c>
      <c r="CL6" t="e">
        <f>AND(#REF!,"AAAAAG/bv1k=")</f>
        <v>#REF!</v>
      </c>
      <c r="CM6" t="e">
        <f>AND(#REF!,"AAAAAG/bv1o=")</f>
        <v>#REF!</v>
      </c>
      <c r="CN6" t="e">
        <f>AND(#REF!,"AAAAAG/bv1s=")</f>
        <v>#REF!</v>
      </c>
      <c r="CO6" t="e">
        <f>AND(#REF!,"AAAAAG/bv1w=")</f>
        <v>#REF!</v>
      </c>
      <c r="CP6" t="e">
        <f>AND(#REF!,"AAAAAG/bv10=")</f>
        <v>#REF!</v>
      </c>
      <c r="CQ6" t="e">
        <f>AND(#REF!,"AAAAAG/bv14=")</f>
        <v>#REF!</v>
      </c>
      <c r="CR6" t="e">
        <f>IF(#REF!,"AAAAAG/bv18=",0)</f>
        <v>#REF!</v>
      </c>
      <c r="CS6" t="e">
        <f>AND(#REF!,"AAAAAG/bv2A=")</f>
        <v>#REF!</v>
      </c>
      <c r="CT6" t="e">
        <f>AND(#REF!,"AAAAAG/bv2E=")</f>
        <v>#REF!</v>
      </c>
      <c r="CU6" t="e">
        <f>AND(#REF!,"AAAAAG/bv2I=")</f>
        <v>#REF!</v>
      </c>
      <c r="CV6" t="e">
        <f>AND(#REF!,"AAAAAG/bv2M=")</f>
        <v>#REF!</v>
      </c>
      <c r="CW6" t="e">
        <f>AND(#REF!,"AAAAAG/bv2Q=")</f>
        <v>#REF!</v>
      </c>
      <c r="CX6" t="e">
        <f>AND(#REF!,"AAAAAG/bv2U=")</f>
        <v>#REF!</v>
      </c>
      <c r="CY6" t="e">
        <f>AND(#REF!,"AAAAAG/bv2Y=")</f>
        <v>#REF!</v>
      </c>
      <c r="CZ6" t="e">
        <f>AND(#REF!,"AAAAAG/bv2c=")</f>
        <v>#REF!</v>
      </c>
      <c r="DA6" t="e">
        <f>AND(#REF!,"AAAAAG/bv2g=")</f>
        <v>#REF!</v>
      </c>
      <c r="DB6" t="e">
        <f>AND(#REF!,"AAAAAG/bv2k=")</f>
        <v>#REF!</v>
      </c>
      <c r="DC6" t="e">
        <f>AND(#REF!,"AAAAAG/bv2o=")</f>
        <v>#REF!</v>
      </c>
      <c r="DD6" t="e">
        <f>AND(#REF!,"AAAAAG/bv2s=")</f>
        <v>#REF!</v>
      </c>
      <c r="DE6" t="e">
        <f>AND(#REF!,"AAAAAG/bv2w=")</f>
        <v>#REF!</v>
      </c>
      <c r="DF6" t="e">
        <f>AND(#REF!,"AAAAAG/bv20=")</f>
        <v>#REF!</v>
      </c>
      <c r="DG6" t="e">
        <f>AND(#REF!,"AAAAAG/bv24=")</f>
        <v>#REF!</v>
      </c>
      <c r="DH6" t="e">
        <f>AND(#REF!,"AAAAAG/bv28=")</f>
        <v>#REF!</v>
      </c>
      <c r="DI6" t="e">
        <f>IF(#REF!,"AAAAAG/bv3A=",0)</f>
        <v>#REF!</v>
      </c>
      <c r="DJ6" t="e">
        <f>AND(#REF!,"AAAAAG/bv3E=")</f>
        <v>#REF!</v>
      </c>
      <c r="DK6" t="e">
        <f>AND(#REF!,"AAAAAG/bv3I=")</f>
        <v>#REF!</v>
      </c>
      <c r="DL6" t="e">
        <f>AND(#REF!,"AAAAAG/bv3M=")</f>
        <v>#REF!</v>
      </c>
      <c r="DM6" t="e">
        <f>AND(#REF!,"AAAAAG/bv3Q=")</f>
        <v>#REF!</v>
      </c>
      <c r="DN6" t="e">
        <f>AND(#REF!,"AAAAAG/bv3U=")</f>
        <v>#REF!</v>
      </c>
      <c r="DO6" t="e">
        <f>AND(#REF!,"AAAAAG/bv3Y=")</f>
        <v>#REF!</v>
      </c>
      <c r="DP6" t="e">
        <f>AND(#REF!,"AAAAAG/bv3c=")</f>
        <v>#REF!</v>
      </c>
      <c r="DQ6" t="e">
        <f>AND(#REF!,"AAAAAG/bv3g=")</f>
        <v>#REF!</v>
      </c>
      <c r="DR6" t="e">
        <f>AND(#REF!,"AAAAAG/bv3k=")</f>
        <v>#REF!</v>
      </c>
      <c r="DS6" t="e">
        <f>AND(#REF!,"AAAAAG/bv3o=")</f>
        <v>#REF!</v>
      </c>
      <c r="DT6" t="e">
        <f>AND(#REF!,"AAAAAG/bv3s=")</f>
        <v>#REF!</v>
      </c>
      <c r="DU6" t="e">
        <f>AND(#REF!,"AAAAAG/bv3w=")</f>
        <v>#REF!</v>
      </c>
      <c r="DV6" t="e">
        <f>AND(#REF!,"AAAAAG/bv30=")</f>
        <v>#REF!</v>
      </c>
      <c r="DW6" t="e">
        <f>AND(#REF!,"AAAAAG/bv34=")</f>
        <v>#REF!</v>
      </c>
      <c r="DX6" t="e">
        <f>AND(#REF!,"AAAAAG/bv38=")</f>
        <v>#REF!</v>
      </c>
      <c r="DY6" t="e">
        <f>AND(#REF!,"AAAAAG/bv4A=")</f>
        <v>#REF!</v>
      </c>
      <c r="DZ6" t="e">
        <f>IF(#REF!,"AAAAAG/bv4E=",0)</f>
        <v>#REF!</v>
      </c>
      <c r="EA6" t="e">
        <f>AND(#REF!,"AAAAAG/bv4I=")</f>
        <v>#REF!</v>
      </c>
      <c r="EB6" t="e">
        <f>AND(#REF!,"AAAAAG/bv4M=")</f>
        <v>#REF!</v>
      </c>
      <c r="EC6" t="e">
        <f>AND(#REF!,"AAAAAG/bv4Q=")</f>
        <v>#REF!</v>
      </c>
      <c r="ED6" t="e">
        <f>AND(#REF!,"AAAAAG/bv4U=")</f>
        <v>#REF!</v>
      </c>
      <c r="EE6" t="e">
        <f>AND(#REF!,"AAAAAG/bv4Y=")</f>
        <v>#REF!</v>
      </c>
      <c r="EF6" t="e">
        <f>AND(#REF!,"AAAAAG/bv4c=")</f>
        <v>#REF!</v>
      </c>
      <c r="EG6" t="e">
        <f>AND(#REF!,"AAAAAG/bv4g=")</f>
        <v>#REF!</v>
      </c>
      <c r="EH6" t="e">
        <f>AND(#REF!,"AAAAAG/bv4k=")</f>
        <v>#REF!</v>
      </c>
      <c r="EI6" t="e">
        <f>AND(#REF!,"AAAAAG/bv4o=")</f>
        <v>#REF!</v>
      </c>
      <c r="EJ6" t="e">
        <f>AND(#REF!,"AAAAAG/bv4s=")</f>
        <v>#REF!</v>
      </c>
      <c r="EK6" t="e">
        <f>AND(#REF!,"AAAAAG/bv4w=")</f>
        <v>#REF!</v>
      </c>
      <c r="EL6" t="e">
        <f>AND(#REF!,"AAAAAG/bv40=")</f>
        <v>#REF!</v>
      </c>
      <c r="EM6" t="e">
        <f>AND(#REF!,"AAAAAG/bv44=")</f>
        <v>#REF!</v>
      </c>
      <c r="EN6" t="e">
        <f>AND(#REF!,"AAAAAG/bv48=")</f>
        <v>#REF!</v>
      </c>
      <c r="EO6" t="e">
        <f>AND(#REF!,"AAAAAG/bv5A=")</f>
        <v>#REF!</v>
      </c>
      <c r="EP6" t="e">
        <f>AND(#REF!,"AAAAAG/bv5E=")</f>
        <v>#REF!</v>
      </c>
      <c r="EQ6" t="e">
        <f>IF(#REF!,"AAAAAG/bv5I=",0)</f>
        <v>#REF!</v>
      </c>
      <c r="ER6" t="e">
        <f>AND(#REF!,"AAAAAG/bv5M=")</f>
        <v>#REF!</v>
      </c>
      <c r="ES6" t="e">
        <f>AND(#REF!,"AAAAAG/bv5Q=")</f>
        <v>#REF!</v>
      </c>
      <c r="ET6" t="e">
        <f>AND(#REF!,"AAAAAG/bv5U=")</f>
        <v>#REF!</v>
      </c>
      <c r="EU6" t="e">
        <f>AND(#REF!,"AAAAAG/bv5Y=")</f>
        <v>#REF!</v>
      </c>
      <c r="EV6" t="e">
        <f>AND(#REF!,"AAAAAG/bv5c=")</f>
        <v>#REF!</v>
      </c>
      <c r="EW6" t="e">
        <f>AND(#REF!,"AAAAAG/bv5g=")</f>
        <v>#REF!</v>
      </c>
      <c r="EX6" t="e">
        <f>AND(#REF!,"AAAAAG/bv5k=")</f>
        <v>#REF!</v>
      </c>
      <c r="EY6" t="e">
        <f>AND(#REF!,"AAAAAG/bv5o=")</f>
        <v>#REF!</v>
      </c>
      <c r="EZ6" t="e">
        <f>AND(#REF!,"AAAAAG/bv5s=")</f>
        <v>#REF!</v>
      </c>
      <c r="FA6" t="e">
        <f>AND(#REF!,"AAAAAG/bv5w=")</f>
        <v>#REF!</v>
      </c>
      <c r="FB6" t="e">
        <f>AND(#REF!,"AAAAAG/bv50=")</f>
        <v>#REF!</v>
      </c>
      <c r="FC6" t="e">
        <f>AND(#REF!,"AAAAAG/bv54=")</f>
        <v>#REF!</v>
      </c>
      <c r="FD6" t="e">
        <f>AND(#REF!,"AAAAAG/bv58=")</f>
        <v>#REF!</v>
      </c>
      <c r="FE6" t="e">
        <f>AND(#REF!,"AAAAAG/bv6A=")</f>
        <v>#REF!</v>
      </c>
      <c r="FF6" t="e">
        <f>AND(#REF!,"AAAAAG/bv6E=")</f>
        <v>#REF!</v>
      </c>
      <c r="FG6" t="e">
        <f>AND(#REF!,"AAAAAG/bv6I=")</f>
        <v>#REF!</v>
      </c>
      <c r="FH6" t="e">
        <f>IF(#REF!,"AAAAAG/bv6M=",0)</f>
        <v>#REF!</v>
      </c>
      <c r="FI6" t="e">
        <f>IF(#REF!,"AAAAAG/bv6Q=",0)</f>
        <v>#REF!</v>
      </c>
      <c r="FJ6" t="e">
        <f>IF(#REF!,"AAAAAG/bv6U=",0)</f>
        <v>#REF!</v>
      </c>
      <c r="FK6" t="e">
        <f>IF(#REF!,"AAAAAG/bv6Y=",0)</f>
        <v>#REF!</v>
      </c>
      <c r="FL6" t="e">
        <f>IF(#REF!,"AAAAAG/bv6c=",0)</f>
        <v>#REF!</v>
      </c>
      <c r="FM6" t="e">
        <f>IF(#REF!,"AAAAAG/bv6g=",0)</f>
        <v>#REF!</v>
      </c>
      <c r="FN6" t="e">
        <f>IF(#REF!,"AAAAAG/bv6k=",0)</f>
        <v>#REF!</v>
      </c>
      <c r="FO6" t="e">
        <f>IF(#REF!,"AAAAAG/bv6o=",0)</f>
        <v>#REF!</v>
      </c>
      <c r="FP6" t="e">
        <f>IF(#REF!,"AAAAAG/bv6s=",0)</f>
        <v>#REF!</v>
      </c>
      <c r="FQ6" t="e">
        <f>IF(#REF!,"AAAAAG/bv6w=",0)</f>
        <v>#REF!</v>
      </c>
      <c r="FR6" t="e">
        <f>IF(#REF!,"AAAAAG/bv60=",0)</f>
        <v>#REF!</v>
      </c>
      <c r="FS6" t="e">
        <f>IF(#REF!,"AAAAAG/bv64=",0)</f>
        <v>#REF!</v>
      </c>
      <c r="FT6" t="e">
        <f>IF(#REF!,"AAAAAG/bv68=",0)</f>
        <v>#REF!</v>
      </c>
      <c r="FU6" t="e">
        <f>IF(#REF!,"AAAAAG/bv7A=",0)</f>
        <v>#REF!</v>
      </c>
      <c r="FV6" t="e">
        <f>IF(#REF!,"AAAAAG/bv7E=",0)</f>
        <v>#REF!</v>
      </c>
      <c r="FW6" t="e">
        <f>IF(#REF!,"AAAAAG/bv7I=",0)</f>
        <v>#REF!</v>
      </c>
      <c r="FX6" t="e">
        <f>IF(#REF!,"AAAAAG/bv7M=",0)</f>
        <v>#REF!</v>
      </c>
      <c r="FY6" t="e">
        <f>IF(#REF!,"AAAAAG/bv7Q=",0)</f>
        <v>#REF!</v>
      </c>
      <c r="FZ6" t="e">
        <f>IF(#REF!,"AAAAAG/bv7U=",0)</f>
        <v>#REF!</v>
      </c>
      <c r="GA6" t="e">
        <f>IF(#REF!,"AAAAAG/bv7Y=",0)</f>
        <v>#REF!</v>
      </c>
      <c r="GB6" t="e">
        <f>IF(#REF!,"AAAAAG/bv7c=",0)</f>
        <v>#REF!</v>
      </c>
      <c r="GC6">
        <f>IF('2'!1:1,"AAAAAG/bv7g=",0)</f>
        <v>0</v>
      </c>
      <c r="GD6" t="e">
        <f>AND('2'!#REF!,"AAAAAG/bv7k=")</f>
        <v>#REF!</v>
      </c>
      <c r="GE6" t="e">
        <f>AND('2'!A1,"AAAAAG/bv7o=")</f>
        <v>#VALUE!</v>
      </c>
      <c r="GF6" t="e">
        <f>AND('2'!B1,"AAAAAG/bv7s=")</f>
        <v>#VALUE!</v>
      </c>
      <c r="GG6" t="e">
        <f>AND('2'!C1,"AAAAAG/bv7w=")</f>
        <v>#VALUE!</v>
      </c>
      <c r="GH6" t="e">
        <f>AND('2'!D1,"AAAAAG/bv70=")</f>
        <v>#VALUE!</v>
      </c>
      <c r="GI6" t="e">
        <f>AND('2'!E1,"AAAAAG/bv74=")</f>
        <v>#VALUE!</v>
      </c>
      <c r="GJ6" t="e">
        <f>AND('2'!F1,"AAAAAG/bv78=")</f>
        <v>#VALUE!</v>
      </c>
      <c r="GK6" t="e">
        <f>AND('2'!G1,"AAAAAG/bv8A=")</f>
        <v>#VALUE!</v>
      </c>
      <c r="GL6" t="e">
        <f>AND('2'!H1,"AAAAAG/bv8E=")</f>
        <v>#VALUE!</v>
      </c>
      <c r="GM6" t="e">
        <f>AND('2'!I1,"AAAAAG/bv8I=")</f>
        <v>#VALUE!</v>
      </c>
      <c r="GN6" t="e">
        <f>AND('2'!J1,"AAAAAG/bv8M=")</f>
        <v>#VALUE!</v>
      </c>
      <c r="GO6" t="e">
        <f>AND('2'!K1,"AAAAAG/bv8Q=")</f>
        <v>#VALUE!</v>
      </c>
      <c r="GP6">
        <f>IF('2'!3:3,"AAAAAG/bv8U=",0)</f>
        <v>0</v>
      </c>
      <c r="GQ6" t="e">
        <f>AND('2'!#REF!,"AAAAAG/bv8Y=")</f>
        <v>#REF!</v>
      </c>
      <c r="GR6" t="e">
        <f>AND('2'!A3,"AAAAAG/bv8c=")</f>
        <v>#VALUE!</v>
      </c>
      <c r="GS6" t="e">
        <f>AND('2'!B3,"AAAAAG/bv8g=")</f>
        <v>#VALUE!</v>
      </c>
      <c r="GT6" t="e">
        <f>AND('2'!C3,"AAAAAG/bv8k=")</f>
        <v>#VALUE!</v>
      </c>
      <c r="GU6" t="e">
        <f>AND('2'!D3,"AAAAAG/bv8o=")</f>
        <v>#VALUE!</v>
      </c>
      <c r="GV6" t="e">
        <f>AND('2'!E3,"AAAAAG/bv8s=")</f>
        <v>#VALUE!</v>
      </c>
      <c r="GW6" t="e">
        <f>AND('2'!F3,"AAAAAG/bv8w=")</f>
        <v>#VALUE!</v>
      </c>
      <c r="GX6" t="e">
        <f>AND('2'!G3,"AAAAAG/bv80=")</f>
        <v>#VALUE!</v>
      </c>
      <c r="GY6" t="e">
        <f>AND('2'!H3,"AAAAAG/bv84=")</f>
        <v>#VALUE!</v>
      </c>
      <c r="GZ6" t="e">
        <f>AND('2'!I3,"AAAAAG/bv88=")</f>
        <v>#VALUE!</v>
      </c>
      <c r="HA6" t="e">
        <f>AND('2'!J3,"AAAAAG/bv9A=")</f>
        <v>#VALUE!</v>
      </c>
      <c r="HB6" t="e">
        <f>AND('2'!K3,"AAAAAG/bv9E=")</f>
        <v>#VALUE!</v>
      </c>
      <c r="HC6">
        <f>IF('2'!4:4,"AAAAAG/bv9I=",0)</f>
        <v>0</v>
      </c>
      <c r="HD6" t="e">
        <f>AND('2'!#REF!,"AAAAAG/bv9M=")</f>
        <v>#REF!</v>
      </c>
      <c r="HE6" t="e">
        <f>AND('2'!A4,"AAAAAG/bv9Q=")</f>
        <v>#VALUE!</v>
      </c>
      <c r="HF6" t="e">
        <f>AND('2'!B4,"AAAAAG/bv9U=")</f>
        <v>#VALUE!</v>
      </c>
      <c r="HG6" t="e">
        <f>AND('2'!C4,"AAAAAG/bv9Y=")</f>
        <v>#VALUE!</v>
      </c>
      <c r="HH6" t="e">
        <f>AND('2'!D4,"AAAAAG/bv9c=")</f>
        <v>#VALUE!</v>
      </c>
      <c r="HI6" t="e">
        <f>AND('2'!E4,"AAAAAG/bv9g=")</f>
        <v>#VALUE!</v>
      </c>
      <c r="HJ6" t="e">
        <f>AND('2'!F4,"AAAAAG/bv9k=")</f>
        <v>#VALUE!</v>
      </c>
      <c r="HK6" t="e">
        <f>AND('2'!G4,"AAAAAG/bv9o=")</f>
        <v>#VALUE!</v>
      </c>
      <c r="HL6" t="e">
        <f>AND('2'!H4,"AAAAAG/bv9s=")</f>
        <v>#VALUE!</v>
      </c>
      <c r="HM6" t="e">
        <f>AND('2'!I4,"AAAAAG/bv9w=")</f>
        <v>#VALUE!</v>
      </c>
      <c r="HN6" t="e">
        <f>AND('2'!J4,"AAAAAG/bv90=")</f>
        <v>#VALUE!</v>
      </c>
      <c r="HO6" t="e">
        <f>AND('2'!K4,"AAAAAG/bv94=")</f>
        <v>#VALUE!</v>
      </c>
      <c r="HP6">
        <f>IF('2'!5:5,"AAAAAG/bv98=",0)</f>
        <v>0</v>
      </c>
      <c r="HQ6" t="e">
        <f>AND('2'!#REF!,"AAAAAG/bv+A=")</f>
        <v>#REF!</v>
      </c>
      <c r="HR6" t="e">
        <f>AND('2'!A5,"AAAAAG/bv+E=")</f>
        <v>#VALUE!</v>
      </c>
      <c r="HS6" t="e">
        <f>AND('2'!B5,"AAAAAG/bv+I=")</f>
        <v>#VALUE!</v>
      </c>
      <c r="HT6" t="e">
        <f>AND('2'!C5,"AAAAAG/bv+M=")</f>
        <v>#VALUE!</v>
      </c>
      <c r="HU6" t="e">
        <f>AND('2'!D5,"AAAAAG/bv+Q=")</f>
        <v>#VALUE!</v>
      </c>
      <c r="HV6" t="e">
        <f>AND('2'!E5,"AAAAAG/bv+U=")</f>
        <v>#VALUE!</v>
      </c>
      <c r="HW6" t="e">
        <f>AND('2'!F5,"AAAAAG/bv+Y=")</f>
        <v>#VALUE!</v>
      </c>
      <c r="HX6" t="e">
        <f>AND('2'!G5,"AAAAAG/bv+c=")</f>
        <v>#VALUE!</v>
      </c>
      <c r="HY6" t="e">
        <f>AND('2'!H5,"AAAAAG/bv+g=")</f>
        <v>#VALUE!</v>
      </c>
      <c r="HZ6" t="e">
        <f>AND('2'!I5,"AAAAAG/bv+k=")</f>
        <v>#VALUE!</v>
      </c>
      <c r="IA6" t="e">
        <f>AND('2'!J5,"AAAAAG/bv+o=")</f>
        <v>#VALUE!</v>
      </c>
      <c r="IB6" t="e">
        <f>AND('2'!K5,"AAAAAG/bv+s=")</f>
        <v>#VALUE!</v>
      </c>
      <c r="IC6">
        <f>IF('2'!6:6,"AAAAAG/bv+w=",0)</f>
        <v>0</v>
      </c>
      <c r="ID6" t="e">
        <f>AND('2'!#REF!,"AAAAAG/bv+0=")</f>
        <v>#REF!</v>
      </c>
      <c r="IE6" t="e">
        <f>AND('2'!A6,"AAAAAG/bv+4=")</f>
        <v>#VALUE!</v>
      </c>
      <c r="IF6" t="e">
        <f>AND('2'!B6,"AAAAAG/bv+8=")</f>
        <v>#VALUE!</v>
      </c>
      <c r="IG6" t="e">
        <f>AND('2'!C6,"AAAAAG/bv/A=")</f>
        <v>#VALUE!</v>
      </c>
      <c r="IH6" t="e">
        <f>AND('2'!D6,"AAAAAG/bv/E=")</f>
        <v>#VALUE!</v>
      </c>
      <c r="II6" t="e">
        <f>AND('2'!E6,"AAAAAG/bv/I=")</f>
        <v>#VALUE!</v>
      </c>
      <c r="IJ6" t="e">
        <f>AND('2'!F6,"AAAAAG/bv/M=")</f>
        <v>#VALUE!</v>
      </c>
      <c r="IK6" t="e">
        <f>AND('2'!G6,"AAAAAG/bv/Q=")</f>
        <v>#VALUE!</v>
      </c>
      <c r="IL6" t="e">
        <f>AND('2'!H6,"AAAAAG/bv/U=")</f>
        <v>#VALUE!</v>
      </c>
      <c r="IM6" t="e">
        <f>AND('2'!I6,"AAAAAG/bv/Y=")</f>
        <v>#VALUE!</v>
      </c>
      <c r="IN6" t="e">
        <f>AND('2'!J6,"AAAAAG/bv/c=")</f>
        <v>#VALUE!</v>
      </c>
      <c r="IO6" t="e">
        <f>AND('2'!K6,"AAAAAG/bv/g=")</f>
        <v>#VALUE!</v>
      </c>
      <c r="IP6">
        <f>IF('2'!7:7,"AAAAAG/bv/k=",0)</f>
        <v>0</v>
      </c>
      <c r="IQ6" t="e">
        <f>AND('2'!#REF!,"AAAAAG/bv/o=")</f>
        <v>#REF!</v>
      </c>
      <c r="IR6" t="e">
        <f>AND('2'!A7,"AAAAAG/bv/s=")</f>
        <v>#VALUE!</v>
      </c>
      <c r="IS6" t="e">
        <f>AND('2'!B7,"AAAAAG/bv/w=")</f>
        <v>#VALUE!</v>
      </c>
      <c r="IT6" t="e">
        <f>AND('2'!C7,"AAAAAG/bv/0=")</f>
        <v>#VALUE!</v>
      </c>
      <c r="IU6" t="e">
        <f>AND('2'!D7,"AAAAAG/bv/4=")</f>
        <v>#VALUE!</v>
      </c>
      <c r="IV6" t="e">
        <f>AND('2'!E7,"AAAAAG/bv/8=")</f>
        <v>#VALUE!</v>
      </c>
    </row>
    <row r="7" spans="1:256" x14ac:dyDescent="0.25">
      <c r="A7" t="e">
        <f>AND('2'!F7,"AAAAAD9veQA=")</f>
        <v>#VALUE!</v>
      </c>
      <c r="B7" t="e">
        <f>AND('2'!G7,"AAAAAD9veQE=")</f>
        <v>#VALUE!</v>
      </c>
      <c r="C7" t="e">
        <f>AND('2'!H7,"AAAAAD9veQI=")</f>
        <v>#VALUE!</v>
      </c>
      <c r="D7" t="e">
        <f>AND('2'!I7,"AAAAAD9veQM=")</f>
        <v>#VALUE!</v>
      </c>
      <c r="E7" t="e">
        <f>AND('2'!J7,"AAAAAD9veQQ=")</f>
        <v>#VALUE!</v>
      </c>
      <c r="F7" t="e">
        <f>AND('2'!K7,"AAAAAD9veQU=")</f>
        <v>#VALUE!</v>
      </c>
      <c r="G7" t="e">
        <f>IF('2'!8:8,"AAAAAD9veQY=",0)</f>
        <v>#VALUE!</v>
      </c>
      <c r="H7" t="e">
        <f>AND('2'!#REF!,"AAAAAD9veQc=")</f>
        <v>#REF!</v>
      </c>
      <c r="I7" t="e">
        <f>AND('2'!A8,"AAAAAD9veQg=")</f>
        <v>#VALUE!</v>
      </c>
      <c r="J7" t="e">
        <f>AND('2'!B8,"AAAAAD9veQk=")</f>
        <v>#VALUE!</v>
      </c>
      <c r="K7" t="e">
        <f>AND('2'!C8,"AAAAAD9veQo=")</f>
        <v>#VALUE!</v>
      </c>
      <c r="L7" t="e">
        <f>AND('2'!D8,"AAAAAD9veQs=")</f>
        <v>#VALUE!</v>
      </c>
      <c r="M7" t="e">
        <f>AND('2'!E8,"AAAAAD9veQw=")</f>
        <v>#VALUE!</v>
      </c>
      <c r="N7" t="e">
        <f>AND('2'!F8,"AAAAAD9veQ0=")</f>
        <v>#VALUE!</v>
      </c>
      <c r="O7" t="e">
        <f>AND('2'!G8,"AAAAAD9veQ4=")</f>
        <v>#VALUE!</v>
      </c>
      <c r="P7" t="e">
        <f>AND('2'!H8,"AAAAAD9veQ8=")</f>
        <v>#VALUE!</v>
      </c>
      <c r="Q7" t="e">
        <f>AND('2'!I8,"AAAAAD9veRA=")</f>
        <v>#VALUE!</v>
      </c>
      <c r="R7" t="e">
        <f>AND('2'!J8,"AAAAAD9veRE=")</f>
        <v>#VALUE!</v>
      </c>
      <c r="S7" t="e">
        <f>AND('2'!K8,"AAAAAD9veRI=")</f>
        <v>#VALUE!</v>
      </c>
      <c r="T7">
        <f>IF('2'!9:9,"AAAAAD9veRM=",0)</f>
        <v>0</v>
      </c>
      <c r="U7" t="e">
        <f>AND('2'!#REF!,"AAAAAD9veRQ=")</f>
        <v>#REF!</v>
      </c>
      <c r="V7" t="e">
        <f>AND('2'!A9,"AAAAAD9veRU=")</f>
        <v>#VALUE!</v>
      </c>
      <c r="W7" t="e">
        <f>AND('2'!B9,"AAAAAD9veRY=")</f>
        <v>#VALUE!</v>
      </c>
      <c r="X7" t="e">
        <f>AND('2'!C9,"AAAAAD9veRc=")</f>
        <v>#VALUE!</v>
      </c>
      <c r="Y7" t="e">
        <f>AND('2'!D9,"AAAAAD9veRg=")</f>
        <v>#VALUE!</v>
      </c>
      <c r="Z7" t="e">
        <f>AND('2'!E9,"AAAAAD9veRk=")</f>
        <v>#VALUE!</v>
      </c>
      <c r="AA7" t="e">
        <f>AND('2'!F9,"AAAAAD9veRo=")</f>
        <v>#VALUE!</v>
      </c>
      <c r="AB7" t="e">
        <f>AND('2'!G9,"AAAAAD9veRs=")</f>
        <v>#VALUE!</v>
      </c>
      <c r="AC7" t="e">
        <f>AND('2'!H9,"AAAAAD9veRw=")</f>
        <v>#VALUE!</v>
      </c>
      <c r="AD7" t="e">
        <f>AND('2'!I9,"AAAAAD9veR0=")</f>
        <v>#VALUE!</v>
      </c>
      <c r="AE7" t="e">
        <f>AND('2'!J9,"AAAAAD9veR4=")</f>
        <v>#VALUE!</v>
      </c>
      <c r="AF7" t="e">
        <f>AND('2'!K9,"AAAAAD9veR8=")</f>
        <v>#VALUE!</v>
      </c>
      <c r="AG7">
        <f>IF('2'!10:10,"AAAAAD9veSA=",0)</f>
        <v>0</v>
      </c>
      <c r="AH7" t="e">
        <f>AND('2'!#REF!,"AAAAAD9veSE=")</f>
        <v>#REF!</v>
      </c>
      <c r="AI7" t="e">
        <f>AND('2'!A10,"AAAAAD9veSI=")</f>
        <v>#VALUE!</v>
      </c>
      <c r="AJ7" t="e">
        <f>AND('2'!B10,"AAAAAD9veSM=")</f>
        <v>#VALUE!</v>
      </c>
      <c r="AK7" t="e">
        <f>AND('2'!C10,"AAAAAD9veSQ=")</f>
        <v>#VALUE!</v>
      </c>
      <c r="AL7" t="e">
        <f>AND('2'!D10,"AAAAAD9veSU=")</f>
        <v>#VALUE!</v>
      </c>
      <c r="AM7" t="e">
        <f>AND('2'!E10,"AAAAAD9veSY=")</f>
        <v>#VALUE!</v>
      </c>
      <c r="AN7" t="e">
        <f>AND('2'!F10,"AAAAAD9veSc=")</f>
        <v>#VALUE!</v>
      </c>
      <c r="AO7" t="e">
        <f>AND('2'!G10,"AAAAAD9veSg=")</f>
        <v>#VALUE!</v>
      </c>
      <c r="AP7" t="e">
        <f>AND('2'!H10,"AAAAAD9veSk=")</f>
        <v>#VALUE!</v>
      </c>
      <c r="AQ7" t="e">
        <f>AND('2'!I10,"AAAAAD9veSo=")</f>
        <v>#VALUE!</v>
      </c>
      <c r="AR7" t="e">
        <f>AND('2'!J10,"AAAAAD9veSs=")</f>
        <v>#VALUE!</v>
      </c>
      <c r="AS7" t="e">
        <f>AND('2'!K10,"AAAAAD9veSw=")</f>
        <v>#VALUE!</v>
      </c>
      <c r="AT7">
        <f>IF('2'!12:12,"AAAAAD9veS0=",0)</f>
        <v>0</v>
      </c>
      <c r="AU7" t="e">
        <f>AND('2'!#REF!,"AAAAAD9veS4=")</f>
        <v>#REF!</v>
      </c>
      <c r="AV7" t="e">
        <f>AND('2'!A12,"AAAAAD9veS8=")</f>
        <v>#VALUE!</v>
      </c>
      <c r="AW7" t="e">
        <f>AND('2'!B12,"AAAAAD9veTA=")</f>
        <v>#VALUE!</v>
      </c>
      <c r="AX7" t="e">
        <f>AND('2'!C12,"AAAAAD9veTE=")</f>
        <v>#VALUE!</v>
      </c>
      <c r="AY7" t="e">
        <f>AND('2'!D12,"AAAAAD9veTI=")</f>
        <v>#VALUE!</v>
      </c>
      <c r="AZ7" t="e">
        <f>AND('2'!E12,"AAAAAD9veTM=")</f>
        <v>#VALUE!</v>
      </c>
      <c r="BA7" t="e">
        <f>AND('2'!F12,"AAAAAD9veTQ=")</f>
        <v>#VALUE!</v>
      </c>
      <c r="BB7" t="e">
        <f>AND('2'!G12,"AAAAAD9veTU=")</f>
        <v>#VALUE!</v>
      </c>
      <c r="BC7" t="e">
        <f>AND('2'!H12,"AAAAAD9veTY=")</f>
        <v>#VALUE!</v>
      </c>
      <c r="BD7" t="e">
        <f>AND('2'!I12,"AAAAAD9veTc=")</f>
        <v>#VALUE!</v>
      </c>
      <c r="BE7" t="e">
        <f>AND('2'!J12,"AAAAAD9veTg=")</f>
        <v>#VALUE!</v>
      </c>
      <c r="BF7" t="e">
        <f>AND('2'!K12,"AAAAAD9veTk=")</f>
        <v>#VALUE!</v>
      </c>
      <c r="BG7">
        <f>IF('2'!13:13,"AAAAAD9veTo=",0)</f>
        <v>0</v>
      </c>
      <c r="BH7" t="e">
        <f>AND('2'!#REF!,"AAAAAD9veTs=")</f>
        <v>#REF!</v>
      </c>
      <c r="BI7" t="e">
        <f>AND('2'!A13,"AAAAAD9veTw=")</f>
        <v>#VALUE!</v>
      </c>
      <c r="BJ7" t="e">
        <f>AND('2'!B13,"AAAAAD9veT0=")</f>
        <v>#VALUE!</v>
      </c>
      <c r="BK7" t="e">
        <f>AND('2'!C13,"AAAAAD9veT4=")</f>
        <v>#VALUE!</v>
      </c>
      <c r="BL7" t="e">
        <f>AND('2'!D13,"AAAAAD9veT8=")</f>
        <v>#VALUE!</v>
      </c>
      <c r="BM7" t="e">
        <f>AND('2'!E13,"AAAAAD9veUA=")</f>
        <v>#VALUE!</v>
      </c>
      <c r="BN7" t="e">
        <f>AND('2'!F13,"AAAAAD9veUE=")</f>
        <v>#VALUE!</v>
      </c>
      <c r="BO7" t="e">
        <f>AND('2'!G13,"AAAAAD9veUI=")</f>
        <v>#VALUE!</v>
      </c>
      <c r="BP7" t="e">
        <f>AND('2'!H13,"AAAAAD9veUM=")</f>
        <v>#VALUE!</v>
      </c>
      <c r="BQ7" t="e">
        <f>AND('2'!I13,"AAAAAD9veUQ=")</f>
        <v>#VALUE!</v>
      </c>
      <c r="BR7" t="e">
        <f>AND('2'!J13,"AAAAAD9veUU=")</f>
        <v>#VALUE!</v>
      </c>
      <c r="BS7" t="e">
        <f>AND('2'!K13,"AAAAAD9veUY=")</f>
        <v>#VALUE!</v>
      </c>
      <c r="BT7">
        <f>IF('2'!14:14,"AAAAAD9veUc=",0)</f>
        <v>0</v>
      </c>
      <c r="BU7" t="e">
        <f>AND('2'!#REF!,"AAAAAD9veUg=")</f>
        <v>#REF!</v>
      </c>
      <c r="BV7" t="e">
        <f>AND('2'!A14,"AAAAAD9veUk=")</f>
        <v>#VALUE!</v>
      </c>
      <c r="BW7" t="e">
        <f>AND('2'!B14,"AAAAAD9veUo=")</f>
        <v>#VALUE!</v>
      </c>
      <c r="BX7" t="e">
        <f>AND('2'!C14,"AAAAAD9veUs=")</f>
        <v>#VALUE!</v>
      </c>
      <c r="BY7" t="e">
        <f>AND('2'!D14,"AAAAAD9veUw=")</f>
        <v>#VALUE!</v>
      </c>
      <c r="BZ7" t="e">
        <f>AND('2'!E14,"AAAAAD9veU0=")</f>
        <v>#VALUE!</v>
      </c>
      <c r="CA7" t="e">
        <f>AND('2'!F14,"AAAAAD9veU4=")</f>
        <v>#VALUE!</v>
      </c>
      <c r="CB7" t="e">
        <f>AND('2'!G14,"AAAAAD9veU8=")</f>
        <v>#VALUE!</v>
      </c>
      <c r="CC7" t="e">
        <f>AND('2'!H14,"AAAAAD9veVA=")</f>
        <v>#VALUE!</v>
      </c>
      <c r="CD7" t="e">
        <f>AND('2'!I14,"AAAAAD9veVE=")</f>
        <v>#VALUE!</v>
      </c>
      <c r="CE7" t="e">
        <f>AND('2'!J14,"AAAAAD9veVI=")</f>
        <v>#VALUE!</v>
      </c>
      <c r="CF7" t="e">
        <f>AND('2'!K14,"AAAAAD9veVM=")</f>
        <v>#VALUE!</v>
      </c>
      <c r="CG7">
        <f>IF('2'!15:15,"AAAAAD9veVQ=",0)</f>
        <v>0</v>
      </c>
      <c r="CH7" t="e">
        <f>AND('2'!#REF!,"AAAAAD9veVU=")</f>
        <v>#REF!</v>
      </c>
      <c r="CI7" t="e">
        <f>AND('2'!A15,"AAAAAD9veVY=")</f>
        <v>#VALUE!</v>
      </c>
      <c r="CJ7" t="e">
        <f>AND('2'!B15,"AAAAAD9veVc=")</f>
        <v>#VALUE!</v>
      </c>
      <c r="CK7" t="e">
        <f>AND('2'!C15,"AAAAAD9veVg=")</f>
        <v>#VALUE!</v>
      </c>
      <c r="CL7" t="e">
        <f>AND('2'!D15,"AAAAAD9veVk=")</f>
        <v>#VALUE!</v>
      </c>
      <c r="CM7" t="e">
        <f>AND('2'!E15,"AAAAAD9veVo=")</f>
        <v>#VALUE!</v>
      </c>
      <c r="CN7" t="e">
        <f>AND('2'!F15,"AAAAAD9veVs=")</f>
        <v>#VALUE!</v>
      </c>
      <c r="CO7" t="e">
        <f>AND('2'!G15,"AAAAAD9veVw=")</f>
        <v>#VALUE!</v>
      </c>
      <c r="CP7" t="e">
        <f>AND('2'!H15,"AAAAAD9veV0=")</f>
        <v>#VALUE!</v>
      </c>
      <c r="CQ7" t="e">
        <f>AND('2'!I15,"AAAAAD9veV4=")</f>
        <v>#VALUE!</v>
      </c>
      <c r="CR7" t="e">
        <f>AND('2'!J15,"AAAAAD9veV8=")</f>
        <v>#VALUE!</v>
      </c>
      <c r="CS7" t="e">
        <f>AND('2'!K15,"AAAAAD9veWA=")</f>
        <v>#VALUE!</v>
      </c>
      <c r="CT7" t="e">
        <f>IF('2'!#REF!,"AAAAAD9veWE=",0)</f>
        <v>#REF!</v>
      </c>
      <c r="CU7" t="e">
        <f>AND('2'!#REF!,"AAAAAD9veWI=")</f>
        <v>#REF!</v>
      </c>
      <c r="CV7" t="e">
        <f>AND('2'!#REF!,"AAAAAD9veWM=")</f>
        <v>#REF!</v>
      </c>
      <c r="CW7" t="e">
        <f>AND('2'!#REF!,"AAAAAD9veWQ=")</f>
        <v>#REF!</v>
      </c>
      <c r="CX7" t="e">
        <f>AND('2'!#REF!,"AAAAAD9veWU=")</f>
        <v>#REF!</v>
      </c>
      <c r="CY7" t="e">
        <f>AND('2'!#REF!,"AAAAAD9veWY=")</f>
        <v>#REF!</v>
      </c>
      <c r="CZ7" t="e">
        <f>AND('2'!#REF!,"AAAAAD9veWc=")</f>
        <v>#REF!</v>
      </c>
      <c r="DA7" t="e">
        <f>AND('2'!#REF!,"AAAAAD9veWg=")</f>
        <v>#REF!</v>
      </c>
      <c r="DB7" t="e">
        <f>AND('2'!#REF!,"AAAAAD9veWk=")</f>
        <v>#REF!</v>
      </c>
      <c r="DC7" t="e">
        <f>AND('2'!#REF!,"AAAAAD9veWo=")</f>
        <v>#REF!</v>
      </c>
      <c r="DD7" t="e">
        <f>AND('2'!#REF!,"AAAAAD9veWs=")</f>
        <v>#REF!</v>
      </c>
      <c r="DE7" t="e">
        <f>AND('2'!#REF!,"AAAAAD9veWw=")</f>
        <v>#REF!</v>
      </c>
      <c r="DF7" t="e">
        <f>AND('2'!#REF!,"AAAAAD9veW0=")</f>
        <v>#REF!</v>
      </c>
      <c r="DG7" t="e">
        <f>IF('2'!#REF!,"AAAAAD9veW4=",0)</f>
        <v>#REF!</v>
      </c>
      <c r="DH7" t="e">
        <f>AND('2'!#REF!,"AAAAAD9veW8=")</f>
        <v>#REF!</v>
      </c>
      <c r="DI7" t="e">
        <f>AND('2'!#REF!,"AAAAAD9veXA=")</f>
        <v>#REF!</v>
      </c>
      <c r="DJ7" t="e">
        <f>AND('2'!#REF!,"AAAAAD9veXE=")</f>
        <v>#REF!</v>
      </c>
      <c r="DK7" t="e">
        <f>AND('2'!#REF!,"AAAAAD9veXI=")</f>
        <v>#REF!</v>
      </c>
      <c r="DL7" t="e">
        <f>AND('2'!#REF!,"AAAAAD9veXM=")</f>
        <v>#REF!</v>
      </c>
      <c r="DM7" t="e">
        <f>AND('2'!#REF!,"AAAAAD9veXQ=")</f>
        <v>#REF!</v>
      </c>
      <c r="DN7" t="e">
        <f>AND('2'!#REF!,"AAAAAD9veXU=")</f>
        <v>#REF!</v>
      </c>
      <c r="DO7" t="e">
        <f>AND('2'!#REF!,"AAAAAD9veXY=")</f>
        <v>#REF!</v>
      </c>
      <c r="DP7" t="e">
        <f>AND('2'!#REF!,"AAAAAD9veXc=")</f>
        <v>#REF!</v>
      </c>
      <c r="DQ7" t="e">
        <f>AND('2'!#REF!,"AAAAAD9veXg=")</f>
        <v>#REF!</v>
      </c>
      <c r="DR7" t="e">
        <f>AND('2'!#REF!,"AAAAAD9veXk=")</f>
        <v>#REF!</v>
      </c>
      <c r="DS7" t="e">
        <f>AND('2'!#REF!,"AAAAAD9veXo=")</f>
        <v>#REF!</v>
      </c>
      <c r="DT7" t="e">
        <f>IF('2'!#REF!,"AAAAAD9veXs=",0)</f>
        <v>#REF!</v>
      </c>
      <c r="DU7" t="e">
        <f>AND('2'!#REF!,"AAAAAD9veXw=")</f>
        <v>#REF!</v>
      </c>
      <c r="DV7" t="e">
        <f>AND('2'!#REF!,"AAAAAD9veX0=")</f>
        <v>#REF!</v>
      </c>
      <c r="DW7" t="e">
        <f>AND('2'!#REF!,"AAAAAD9veX4=")</f>
        <v>#REF!</v>
      </c>
      <c r="DX7" t="e">
        <f>AND('2'!#REF!,"AAAAAD9veX8=")</f>
        <v>#REF!</v>
      </c>
      <c r="DY7" t="e">
        <f>AND('2'!#REF!,"AAAAAD9veYA=")</f>
        <v>#REF!</v>
      </c>
      <c r="DZ7" t="e">
        <f>AND('2'!#REF!,"AAAAAD9veYE=")</f>
        <v>#REF!</v>
      </c>
      <c r="EA7" t="e">
        <f>AND('2'!#REF!,"AAAAAD9veYI=")</f>
        <v>#REF!</v>
      </c>
      <c r="EB7" t="e">
        <f>AND('2'!#REF!,"AAAAAD9veYM=")</f>
        <v>#REF!</v>
      </c>
      <c r="EC7" t="e">
        <f>AND('2'!#REF!,"AAAAAD9veYQ=")</f>
        <v>#REF!</v>
      </c>
      <c r="ED7" t="e">
        <f>AND('2'!#REF!,"AAAAAD9veYU=")</f>
        <v>#REF!</v>
      </c>
      <c r="EE7" t="e">
        <f>AND('2'!#REF!,"AAAAAD9veYY=")</f>
        <v>#REF!</v>
      </c>
      <c r="EF7" t="e">
        <f>AND('2'!#REF!,"AAAAAD9veYc=")</f>
        <v>#REF!</v>
      </c>
      <c r="EG7" t="e">
        <f>IF('2'!#REF!,"AAAAAD9veYg=",0)</f>
        <v>#REF!</v>
      </c>
      <c r="EH7" t="e">
        <f>AND('2'!#REF!,"AAAAAD9veYk=")</f>
        <v>#REF!</v>
      </c>
      <c r="EI7" t="e">
        <f>AND('2'!#REF!,"AAAAAD9veYo=")</f>
        <v>#REF!</v>
      </c>
      <c r="EJ7" t="e">
        <f>AND('2'!#REF!,"AAAAAD9veYs=")</f>
        <v>#REF!</v>
      </c>
      <c r="EK7" t="e">
        <f>AND('2'!#REF!,"AAAAAD9veYw=")</f>
        <v>#REF!</v>
      </c>
      <c r="EL7" t="e">
        <f>AND('2'!#REF!,"AAAAAD9veY0=")</f>
        <v>#REF!</v>
      </c>
      <c r="EM7" t="e">
        <f>AND('2'!#REF!,"AAAAAD9veY4=")</f>
        <v>#REF!</v>
      </c>
      <c r="EN7" t="e">
        <f>AND('2'!#REF!,"AAAAAD9veY8=")</f>
        <v>#REF!</v>
      </c>
      <c r="EO7" t="e">
        <f>AND('2'!#REF!,"AAAAAD9veZA=")</f>
        <v>#REF!</v>
      </c>
      <c r="EP7" t="e">
        <f>AND('2'!#REF!,"AAAAAD9veZE=")</f>
        <v>#REF!</v>
      </c>
      <c r="EQ7" t="e">
        <f>AND('2'!#REF!,"AAAAAD9veZI=")</f>
        <v>#REF!</v>
      </c>
      <c r="ER7" t="e">
        <f>AND('2'!#REF!,"AAAAAD9veZM=")</f>
        <v>#REF!</v>
      </c>
      <c r="ES7" t="e">
        <f>AND('2'!#REF!,"AAAAAD9veZQ=")</f>
        <v>#REF!</v>
      </c>
      <c r="ET7" t="e">
        <f>IF('2'!#REF!,"AAAAAD9veZU=",0)</f>
        <v>#REF!</v>
      </c>
      <c r="EU7" t="e">
        <f>AND('2'!#REF!,"AAAAAD9veZY=")</f>
        <v>#REF!</v>
      </c>
      <c r="EV7" t="e">
        <f>AND('2'!#REF!,"AAAAAD9veZc=")</f>
        <v>#REF!</v>
      </c>
      <c r="EW7" t="e">
        <f>AND('2'!#REF!,"AAAAAD9veZg=")</f>
        <v>#REF!</v>
      </c>
      <c r="EX7" t="e">
        <f>AND('2'!#REF!,"AAAAAD9veZk=")</f>
        <v>#REF!</v>
      </c>
      <c r="EY7" t="e">
        <f>AND('2'!#REF!,"AAAAAD9veZo=")</f>
        <v>#REF!</v>
      </c>
      <c r="EZ7" t="e">
        <f>AND('2'!#REF!,"AAAAAD9veZs=")</f>
        <v>#REF!</v>
      </c>
      <c r="FA7" t="e">
        <f>AND('2'!#REF!,"AAAAAD9veZw=")</f>
        <v>#REF!</v>
      </c>
      <c r="FB7" t="e">
        <f>AND('2'!#REF!,"AAAAAD9veZ0=")</f>
        <v>#REF!</v>
      </c>
      <c r="FC7" t="e">
        <f>AND('2'!#REF!,"AAAAAD9veZ4=")</f>
        <v>#REF!</v>
      </c>
      <c r="FD7" t="e">
        <f>AND('2'!#REF!,"AAAAAD9veZ8=")</f>
        <v>#REF!</v>
      </c>
      <c r="FE7" t="e">
        <f>AND('2'!#REF!,"AAAAAD9veaA=")</f>
        <v>#REF!</v>
      </c>
      <c r="FF7" t="e">
        <f>AND('2'!#REF!,"AAAAAD9veaE=")</f>
        <v>#REF!</v>
      </c>
      <c r="FG7" t="e">
        <f>IF('2'!#REF!,"AAAAAD9veaI=",0)</f>
        <v>#REF!</v>
      </c>
      <c r="FH7" t="e">
        <f>AND('2'!#REF!,"AAAAAD9veaM=")</f>
        <v>#REF!</v>
      </c>
      <c r="FI7" t="e">
        <f>AND('2'!#REF!,"AAAAAD9veaQ=")</f>
        <v>#REF!</v>
      </c>
      <c r="FJ7" t="e">
        <f>AND('2'!#REF!,"AAAAAD9veaU=")</f>
        <v>#REF!</v>
      </c>
      <c r="FK7" t="e">
        <f>AND('2'!#REF!,"AAAAAD9veaY=")</f>
        <v>#REF!</v>
      </c>
      <c r="FL7" t="e">
        <f>AND('2'!#REF!,"AAAAAD9veac=")</f>
        <v>#REF!</v>
      </c>
      <c r="FM7" t="e">
        <f>AND('2'!#REF!,"AAAAAD9veag=")</f>
        <v>#REF!</v>
      </c>
      <c r="FN7" t="e">
        <f>AND('2'!#REF!,"AAAAAD9veak=")</f>
        <v>#REF!</v>
      </c>
      <c r="FO7" t="e">
        <f>AND('2'!#REF!,"AAAAAD9veao=")</f>
        <v>#REF!</v>
      </c>
      <c r="FP7" t="e">
        <f>AND('2'!#REF!,"AAAAAD9veas=")</f>
        <v>#REF!</v>
      </c>
      <c r="FQ7" t="e">
        <f>AND('2'!#REF!,"AAAAAD9veaw=")</f>
        <v>#REF!</v>
      </c>
      <c r="FR7" t="e">
        <f>AND('2'!#REF!,"AAAAAD9vea0=")</f>
        <v>#REF!</v>
      </c>
      <c r="FS7" t="e">
        <f>AND('2'!#REF!,"AAAAAD9vea4=")</f>
        <v>#REF!</v>
      </c>
      <c r="FT7" t="e">
        <f>IF('2'!#REF!,"AAAAAD9vea8=",0)</f>
        <v>#REF!</v>
      </c>
      <c r="FU7" t="e">
        <f>AND('2'!#REF!,"AAAAAD9vebA=")</f>
        <v>#REF!</v>
      </c>
      <c r="FV7" t="e">
        <f>AND('2'!#REF!,"AAAAAD9vebE=")</f>
        <v>#REF!</v>
      </c>
      <c r="FW7" t="e">
        <f>AND('2'!#REF!,"AAAAAD9vebI=")</f>
        <v>#REF!</v>
      </c>
      <c r="FX7" t="e">
        <f>AND('2'!#REF!,"AAAAAD9vebM=")</f>
        <v>#REF!</v>
      </c>
      <c r="FY7" t="e">
        <f>AND('2'!#REF!,"AAAAAD9vebQ=")</f>
        <v>#REF!</v>
      </c>
      <c r="FZ7" t="e">
        <f>AND('2'!#REF!,"AAAAAD9vebU=")</f>
        <v>#REF!</v>
      </c>
      <c r="GA7" t="e">
        <f>AND('2'!#REF!,"AAAAAD9vebY=")</f>
        <v>#REF!</v>
      </c>
      <c r="GB7" t="e">
        <f>AND('2'!#REF!,"AAAAAD9vebc=")</f>
        <v>#REF!</v>
      </c>
      <c r="GC7" t="e">
        <f>AND('2'!#REF!,"AAAAAD9vebg=")</f>
        <v>#REF!</v>
      </c>
      <c r="GD7" t="e">
        <f>AND('2'!#REF!,"AAAAAD9vebk=")</f>
        <v>#REF!</v>
      </c>
      <c r="GE7" t="e">
        <f>AND('2'!#REF!,"AAAAAD9vebo=")</f>
        <v>#REF!</v>
      </c>
      <c r="GF7" t="e">
        <f>AND('2'!#REF!,"AAAAAD9vebs=")</f>
        <v>#REF!</v>
      </c>
      <c r="GG7" t="e">
        <f>IF('2'!#REF!,"AAAAAD9vebw=",0)</f>
        <v>#REF!</v>
      </c>
      <c r="GH7" t="e">
        <f>AND('2'!#REF!,"AAAAAD9veb0=")</f>
        <v>#REF!</v>
      </c>
      <c r="GI7" t="e">
        <f>AND('2'!#REF!,"AAAAAD9veb4=")</f>
        <v>#REF!</v>
      </c>
      <c r="GJ7" t="e">
        <f>AND('2'!#REF!,"AAAAAD9veb8=")</f>
        <v>#REF!</v>
      </c>
      <c r="GK7" t="e">
        <f>AND('2'!#REF!,"AAAAAD9vecA=")</f>
        <v>#REF!</v>
      </c>
      <c r="GL7" t="e">
        <f>AND('2'!#REF!,"AAAAAD9vecE=")</f>
        <v>#REF!</v>
      </c>
      <c r="GM7" t="e">
        <f>AND('2'!#REF!,"AAAAAD9vecI=")</f>
        <v>#REF!</v>
      </c>
      <c r="GN7" t="e">
        <f>AND('2'!#REF!,"AAAAAD9vecM=")</f>
        <v>#REF!</v>
      </c>
      <c r="GO7" t="e">
        <f>AND('2'!#REF!,"AAAAAD9vecQ=")</f>
        <v>#REF!</v>
      </c>
      <c r="GP7" t="e">
        <f>AND('2'!#REF!,"AAAAAD9vecU=")</f>
        <v>#REF!</v>
      </c>
      <c r="GQ7" t="e">
        <f>AND('2'!#REF!,"AAAAAD9vecY=")</f>
        <v>#REF!</v>
      </c>
      <c r="GR7" t="e">
        <f>AND('2'!#REF!,"AAAAAD9vecc=")</f>
        <v>#REF!</v>
      </c>
      <c r="GS7" t="e">
        <f>AND('2'!#REF!,"AAAAAD9vecg=")</f>
        <v>#REF!</v>
      </c>
      <c r="GT7" t="e">
        <f>IF('2'!#REF!,"AAAAAD9veck=",0)</f>
        <v>#REF!</v>
      </c>
      <c r="GU7" t="e">
        <f>AND('2'!#REF!,"AAAAAD9veco=")</f>
        <v>#REF!</v>
      </c>
      <c r="GV7" t="e">
        <f>AND('2'!#REF!,"AAAAAD9vecs=")</f>
        <v>#REF!</v>
      </c>
      <c r="GW7" t="e">
        <f>AND('2'!#REF!,"AAAAAD9vecw=")</f>
        <v>#REF!</v>
      </c>
      <c r="GX7" t="e">
        <f>AND('2'!#REF!,"AAAAAD9vec0=")</f>
        <v>#REF!</v>
      </c>
      <c r="GY7" t="e">
        <f>AND('2'!#REF!,"AAAAAD9vec4=")</f>
        <v>#REF!</v>
      </c>
      <c r="GZ7" t="e">
        <f>AND('2'!#REF!,"AAAAAD9vec8=")</f>
        <v>#REF!</v>
      </c>
      <c r="HA7" t="e">
        <f>AND('2'!#REF!,"AAAAAD9vedA=")</f>
        <v>#REF!</v>
      </c>
      <c r="HB7" t="e">
        <f>AND('2'!#REF!,"AAAAAD9vedE=")</f>
        <v>#REF!</v>
      </c>
      <c r="HC7" t="e">
        <f>AND('2'!#REF!,"AAAAAD9vedI=")</f>
        <v>#REF!</v>
      </c>
      <c r="HD7" t="e">
        <f>AND('2'!#REF!,"AAAAAD9vedM=")</f>
        <v>#REF!</v>
      </c>
      <c r="HE7" t="e">
        <f>AND('2'!#REF!,"AAAAAD9vedQ=")</f>
        <v>#REF!</v>
      </c>
      <c r="HF7" t="e">
        <f>AND('2'!#REF!,"AAAAAD9vedU=")</f>
        <v>#REF!</v>
      </c>
      <c r="HG7" t="e">
        <f>IF('2'!#REF!,"AAAAAD9vedY=",0)</f>
        <v>#REF!</v>
      </c>
      <c r="HH7" t="e">
        <f>AND('2'!#REF!,"AAAAAD9vedc=")</f>
        <v>#REF!</v>
      </c>
      <c r="HI7" t="e">
        <f>AND('2'!#REF!,"AAAAAD9vedg=")</f>
        <v>#REF!</v>
      </c>
      <c r="HJ7" t="e">
        <f>AND('2'!#REF!,"AAAAAD9vedk=")</f>
        <v>#REF!</v>
      </c>
      <c r="HK7" t="e">
        <f>AND('2'!#REF!,"AAAAAD9vedo=")</f>
        <v>#REF!</v>
      </c>
      <c r="HL7" t="e">
        <f>AND('2'!#REF!,"AAAAAD9veds=")</f>
        <v>#REF!</v>
      </c>
      <c r="HM7" t="e">
        <f>AND('2'!#REF!,"AAAAAD9vedw=")</f>
        <v>#REF!</v>
      </c>
      <c r="HN7" t="e">
        <f>AND('2'!#REF!,"AAAAAD9ved0=")</f>
        <v>#REF!</v>
      </c>
      <c r="HO7" t="e">
        <f>AND('2'!#REF!,"AAAAAD9ved4=")</f>
        <v>#REF!</v>
      </c>
      <c r="HP7" t="e">
        <f>AND('2'!#REF!,"AAAAAD9ved8=")</f>
        <v>#REF!</v>
      </c>
      <c r="HQ7" t="e">
        <f>AND('2'!#REF!,"AAAAAD9veeA=")</f>
        <v>#REF!</v>
      </c>
      <c r="HR7" t="e">
        <f>AND('2'!#REF!,"AAAAAD9veeE=")</f>
        <v>#REF!</v>
      </c>
      <c r="HS7" t="e">
        <f>AND('2'!#REF!,"AAAAAD9veeI=")</f>
        <v>#REF!</v>
      </c>
      <c r="HT7" t="e">
        <f>IF('2'!#REF!,"AAAAAD9veeM=",0)</f>
        <v>#REF!</v>
      </c>
      <c r="HU7" t="e">
        <f>AND('2'!#REF!,"AAAAAD9veeQ=")</f>
        <v>#REF!</v>
      </c>
      <c r="HV7" t="e">
        <f>AND('2'!#REF!,"AAAAAD9veeU=")</f>
        <v>#REF!</v>
      </c>
      <c r="HW7" t="e">
        <f>AND('2'!#REF!,"AAAAAD9veeY=")</f>
        <v>#REF!</v>
      </c>
      <c r="HX7" t="e">
        <f>AND('2'!#REF!,"AAAAAD9veec=")</f>
        <v>#REF!</v>
      </c>
      <c r="HY7" t="e">
        <f>AND('2'!#REF!,"AAAAAD9veeg=")</f>
        <v>#REF!</v>
      </c>
      <c r="HZ7" t="e">
        <f>AND('2'!#REF!,"AAAAAD9veek=")</f>
        <v>#REF!</v>
      </c>
      <c r="IA7" t="e">
        <f>AND('2'!#REF!,"AAAAAD9veeo=")</f>
        <v>#REF!</v>
      </c>
      <c r="IB7" t="e">
        <f>AND('2'!#REF!,"AAAAAD9vees=")</f>
        <v>#REF!</v>
      </c>
      <c r="IC7" t="e">
        <f>AND('2'!#REF!,"AAAAAD9veew=")</f>
        <v>#REF!</v>
      </c>
      <c r="ID7" t="e">
        <f>AND('2'!#REF!,"AAAAAD9vee0=")</f>
        <v>#REF!</v>
      </c>
      <c r="IE7" t="e">
        <f>AND('2'!#REF!,"AAAAAD9vee4=")</f>
        <v>#REF!</v>
      </c>
      <c r="IF7" t="e">
        <f>AND('2'!#REF!,"AAAAAD9vee8=")</f>
        <v>#REF!</v>
      </c>
      <c r="IG7" t="e">
        <f>IF('2'!#REF!,"AAAAAD9vefA=",0)</f>
        <v>#REF!</v>
      </c>
      <c r="IH7" t="e">
        <f>AND('2'!#REF!,"AAAAAD9vefE=")</f>
        <v>#REF!</v>
      </c>
      <c r="II7" t="e">
        <f>AND('2'!#REF!,"AAAAAD9vefI=")</f>
        <v>#REF!</v>
      </c>
      <c r="IJ7" t="e">
        <f>AND('2'!#REF!,"AAAAAD9vefM=")</f>
        <v>#REF!</v>
      </c>
      <c r="IK7" t="e">
        <f>AND('2'!#REF!,"AAAAAD9vefQ=")</f>
        <v>#REF!</v>
      </c>
      <c r="IL7" t="e">
        <f>AND('2'!#REF!,"AAAAAD9vefU=")</f>
        <v>#REF!</v>
      </c>
      <c r="IM7" t="e">
        <f>AND('2'!#REF!,"AAAAAD9vefY=")</f>
        <v>#REF!</v>
      </c>
      <c r="IN7" t="e">
        <f>AND('2'!#REF!,"AAAAAD9vefc=")</f>
        <v>#REF!</v>
      </c>
      <c r="IO7" t="e">
        <f>AND('2'!#REF!,"AAAAAD9vefg=")</f>
        <v>#REF!</v>
      </c>
      <c r="IP7" t="e">
        <f>AND('2'!#REF!,"AAAAAD9vefk=")</f>
        <v>#REF!</v>
      </c>
      <c r="IQ7" t="e">
        <f>AND('2'!#REF!,"AAAAAD9vefo=")</f>
        <v>#REF!</v>
      </c>
      <c r="IR7" t="e">
        <f>AND('2'!#REF!,"AAAAAD9vefs=")</f>
        <v>#REF!</v>
      </c>
      <c r="IS7" t="e">
        <f>AND('2'!#REF!,"AAAAAD9vefw=")</f>
        <v>#REF!</v>
      </c>
      <c r="IT7" t="e">
        <f>IF('2'!#REF!,"AAAAAD9vef0=",0)</f>
        <v>#REF!</v>
      </c>
      <c r="IU7" t="e">
        <f>AND('2'!#REF!,"AAAAAD9vef4=")</f>
        <v>#REF!</v>
      </c>
      <c r="IV7" t="e">
        <f>AND('2'!#REF!,"AAAAAD9vef8=")</f>
        <v>#REF!</v>
      </c>
    </row>
    <row r="8" spans="1:256" x14ac:dyDescent="0.25">
      <c r="A8" t="e">
        <f>AND('2'!#REF!,"AAAAAF0vXwA=")</f>
        <v>#REF!</v>
      </c>
      <c r="B8" t="e">
        <f>AND('2'!#REF!,"AAAAAF0vXwE=")</f>
        <v>#REF!</v>
      </c>
      <c r="C8" t="e">
        <f>AND('2'!#REF!,"AAAAAF0vXwI=")</f>
        <v>#REF!</v>
      </c>
      <c r="D8" t="e">
        <f>AND('2'!#REF!,"AAAAAF0vXwM=")</f>
        <v>#REF!</v>
      </c>
      <c r="E8" t="e">
        <f>AND('2'!#REF!,"AAAAAF0vXwQ=")</f>
        <v>#REF!</v>
      </c>
      <c r="F8" t="e">
        <f>AND('2'!#REF!,"AAAAAF0vXwU=")</f>
        <v>#REF!</v>
      </c>
      <c r="G8" t="e">
        <f>AND('2'!#REF!,"AAAAAF0vXwY=")</f>
        <v>#REF!</v>
      </c>
      <c r="H8" t="e">
        <f>AND('2'!#REF!,"AAAAAF0vXwc=")</f>
        <v>#REF!</v>
      </c>
      <c r="I8" t="e">
        <f>AND('2'!#REF!,"AAAAAF0vXwg=")</f>
        <v>#REF!</v>
      </c>
      <c r="J8" t="e">
        <f>AND('2'!#REF!,"AAAAAF0vXwk=")</f>
        <v>#REF!</v>
      </c>
      <c r="K8" t="e">
        <f>IF('2'!#REF!,"AAAAAF0vXwo=",0)</f>
        <v>#REF!</v>
      </c>
      <c r="L8" t="e">
        <f>AND('2'!#REF!,"AAAAAF0vXws=")</f>
        <v>#REF!</v>
      </c>
      <c r="M8" t="e">
        <f>AND('2'!#REF!,"AAAAAF0vXww=")</f>
        <v>#REF!</v>
      </c>
      <c r="N8" t="e">
        <f>AND('2'!#REF!,"AAAAAF0vXw0=")</f>
        <v>#REF!</v>
      </c>
      <c r="O8" t="e">
        <f>AND('2'!#REF!,"AAAAAF0vXw4=")</f>
        <v>#REF!</v>
      </c>
      <c r="P8" t="e">
        <f>AND('2'!#REF!,"AAAAAF0vXw8=")</f>
        <v>#REF!</v>
      </c>
      <c r="Q8" t="e">
        <f>AND('2'!#REF!,"AAAAAF0vXxA=")</f>
        <v>#REF!</v>
      </c>
      <c r="R8" t="e">
        <f>AND('2'!#REF!,"AAAAAF0vXxE=")</f>
        <v>#REF!</v>
      </c>
      <c r="S8" t="e">
        <f>AND('2'!#REF!,"AAAAAF0vXxI=")</f>
        <v>#REF!</v>
      </c>
      <c r="T8" t="e">
        <f>AND('2'!#REF!,"AAAAAF0vXxM=")</f>
        <v>#REF!</v>
      </c>
      <c r="U8" t="e">
        <f>AND('2'!#REF!,"AAAAAF0vXxQ=")</f>
        <v>#REF!</v>
      </c>
      <c r="V8" t="e">
        <f>AND('2'!#REF!,"AAAAAF0vXxU=")</f>
        <v>#REF!</v>
      </c>
      <c r="W8" t="e">
        <f>AND('2'!#REF!,"AAAAAF0vXxY=")</f>
        <v>#REF!</v>
      </c>
      <c r="X8" t="e">
        <f>IF('2'!#REF!,"AAAAAF0vXxc=",0)</f>
        <v>#REF!</v>
      </c>
      <c r="Y8" t="e">
        <f>AND('2'!#REF!,"AAAAAF0vXxg=")</f>
        <v>#REF!</v>
      </c>
      <c r="Z8" t="e">
        <f>AND('2'!#REF!,"AAAAAF0vXxk=")</f>
        <v>#REF!</v>
      </c>
      <c r="AA8" t="e">
        <f>AND('2'!#REF!,"AAAAAF0vXxo=")</f>
        <v>#REF!</v>
      </c>
      <c r="AB8" t="e">
        <f>AND('2'!#REF!,"AAAAAF0vXxs=")</f>
        <v>#REF!</v>
      </c>
      <c r="AC8" t="e">
        <f>AND('2'!#REF!,"AAAAAF0vXxw=")</f>
        <v>#REF!</v>
      </c>
      <c r="AD8" t="e">
        <f>AND('2'!#REF!,"AAAAAF0vXx0=")</f>
        <v>#REF!</v>
      </c>
      <c r="AE8" t="e">
        <f>AND('2'!#REF!,"AAAAAF0vXx4=")</f>
        <v>#REF!</v>
      </c>
      <c r="AF8" t="e">
        <f>AND('2'!#REF!,"AAAAAF0vXx8=")</f>
        <v>#REF!</v>
      </c>
      <c r="AG8" t="e">
        <f>AND('2'!#REF!,"AAAAAF0vXyA=")</f>
        <v>#REF!</v>
      </c>
      <c r="AH8" t="e">
        <f>AND('2'!#REF!,"AAAAAF0vXyE=")</f>
        <v>#REF!</v>
      </c>
      <c r="AI8" t="e">
        <f>AND('2'!#REF!,"AAAAAF0vXyI=")</f>
        <v>#REF!</v>
      </c>
      <c r="AJ8" t="e">
        <f>AND('2'!#REF!,"AAAAAF0vXyM=")</f>
        <v>#REF!</v>
      </c>
      <c r="AK8" t="e">
        <f>IF('2'!#REF!,"AAAAAF0vXyQ=",0)</f>
        <v>#REF!</v>
      </c>
      <c r="AL8" t="e">
        <f>AND('2'!#REF!,"AAAAAF0vXyU=")</f>
        <v>#REF!</v>
      </c>
      <c r="AM8" t="e">
        <f>AND('2'!#REF!,"AAAAAF0vXyY=")</f>
        <v>#REF!</v>
      </c>
      <c r="AN8" t="e">
        <f>AND('2'!#REF!,"AAAAAF0vXyc=")</f>
        <v>#REF!</v>
      </c>
      <c r="AO8" t="e">
        <f>AND('2'!#REF!,"AAAAAF0vXyg=")</f>
        <v>#REF!</v>
      </c>
      <c r="AP8" t="e">
        <f>AND('2'!#REF!,"AAAAAF0vXyk=")</f>
        <v>#REF!</v>
      </c>
      <c r="AQ8" t="e">
        <f>AND('2'!#REF!,"AAAAAF0vXyo=")</f>
        <v>#REF!</v>
      </c>
      <c r="AR8" t="e">
        <f>AND('2'!#REF!,"AAAAAF0vXys=")</f>
        <v>#REF!</v>
      </c>
      <c r="AS8" t="e">
        <f>AND('2'!#REF!,"AAAAAF0vXyw=")</f>
        <v>#REF!</v>
      </c>
      <c r="AT8" t="e">
        <f>AND('2'!#REF!,"AAAAAF0vXy0=")</f>
        <v>#REF!</v>
      </c>
      <c r="AU8" t="e">
        <f>AND('2'!#REF!,"AAAAAF0vXy4=")</f>
        <v>#REF!</v>
      </c>
      <c r="AV8" t="e">
        <f>AND('2'!#REF!,"AAAAAF0vXy8=")</f>
        <v>#REF!</v>
      </c>
      <c r="AW8" t="e">
        <f>AND('2'!#REF!,"AAAAAF0vXzA=")</f>
        <v>#REF!</v>
      </c>
      <c r="AX8" t="e">
        <f>IF('2'!#REF!,"AAAAAF0vXzE=",0)</f>
        <v>#REF!</v>
      </c>
      <c r="AY8" t="e">
        <f>AND('2'!#REF!,"AAAAAF0vXzI=")</f>
        <v>#REF!</v>
      </c>
      <c r="AZ8" t="e">
        <f>AND('2'!#REF!,"AAAAAF0vXzM=")</f>
        <v>#REF!</v>
      </c>
      <c r="BA8" t="e">
        <f>AND('2'!#REF!,"AAAAAF0vXzQ=")</f>
        <v>#REF!</v>
      </c>
      <c r="BB8" t="e">
        <f>AND('2'!#REF!,"AAAAAF0vXzU=")</f>
        <v>#REF!</v>
      </c>
      <c r="BC8" t="e">
        <f>AND('2'!#REF!,"AAAAAF0vXzY=")</f>
        <v>#REF!</v>
      </c>
      <c r="BD8" t="e">
        <f>AND('2'!#REF!,"AAAAAF0vXzc=")</f>
        <v>#REF!</v>
      </c>
      <c r="BE8" t="e">
        <f>AND('2'!#REF!,"AAAAAF0vXzg=")</f>
        <v>#REF!</v>
      </c>
      <c r="BF8" t="e">
        <f>AND('2'!#REF!,"AAAAAF0vXzk=")</f>
        <v>#REF!</v>
      </c>
      <c r="BG8" t="e">
        <f>AND('2'!#REF!,"AAAAAF0vXzo=")</f>
        <v>#REF!</v>
      </c>
      <c r="BH8" t="e">
        <f>AND('2'!#REF!,"AAAAAF0vXzs=")</f>
        <v>#REF!</v>
      </c>
      <c r="BI8" t="e">
        <f>AND('2'!#REF!,"AAAAAF0vXzw=")</f>
        <v>#REF!</v>
      </c>
      <c r="BJ8" t="e">
        <f>AND('2'!#REF!,"AAAAAF0vXz0=")</f>
        <v>#REF!</v>
      </c>
      <c r="BK8" t="e">
        <f>IF('2'!#REF!,"AAAAAF0vXz4=",0)</f>
        <v>#REF!</v>
      </c>
      <c r="BL8" t="e">
        <f>AND('2'!#REF!,"AAAAAF0vXz8=")</f>
        <v>#REF!</v>
      </c>
      <c r="BM8" t="e">
        <f>AND('2'!#REF!,"AAAAAF0vX0A=")</f>
        <v>#REF!</v>
      </c>
      <c r="BN8" t="e">
        <f>AND('2'!#REF!,"AAAAAF0vX0E=")</f>
        <v>#REF!</v>
      </c>
      <c r="BO8" t="e">
        <f>AND('2'!#REF!,"AAAAAF0vX0I=")</f>
        <v>#REF!</v>
      </c>
      <c r="BP8" t="e">
        <f>AND('2'!#REF!,"AAAAAF0vX0M=")</f>
        <v>#REF!</v>
      </c>
      <c r="BQ8" t="e">
        <f>AND('2'!#REF!,"AAAAAF0vX0Q=")</f>
        <v>#REF!</v>
      </c>
      <c r="BR8" t="e">
        <f>AND('2'!#REF!,"AAAAAF0vX0U=")</f>
        <v>#REF!</v>
      </c>
      <c r="BS8" t="e">
        <f>AND('2'!#REF!,"AAAAAF0vX0Y=")</f>
        <v>#REF!</v>
      </c>
      <c r="BT8" t="e">
        <f>AND('2'!#REF!,"AAAAAF0vX0c=")</f>
        <v>#REF!</v>
      </c>
      <c r="BU8" t="e">
        <f>AND('2'!#REF!,"AAAAAF0vX0g=")</f>
        <v>#REF!</v>
      </c>
      <c r="BV8" t="e">
        <f>AND('2'!#REF!,"AAAAAF0vX0k=")</f>
        <v>#REF!</v>
      </c>
      <c r="BW8" t="e">
        <f>AND('2'!#REF!,"AAAAAF0vX0o=")</f>
        <v>#REF!</v>
      </c>
      <c r="BX8" t="e">
        <f>IF('2'!#REF!,"AAAAAF0vX0s=",0)</f>
        <v>#REF!</v>
      </c>
      <c r="BY8" t="e">
        <f>AND('2'!#REF!,"AAAAAF0vX0w=")</f>
        <v>#REF!</v>
      </c>
      <c r="BZ8" t="e">
        <f>AND('2'!#REF!,"AAAAAF0vX00=")</f>
        <v>#REF!</v>
      </c>
      <c r="CA8" t="e">
        <f>AND('2'!#REF!,"AAAAAF0vX04=")</f>
        <v>#REF!</v>
      </c>
      <c r="CB8" t="e">
        <f>AND('2'!#REF!,"AAAAAF0vX08=")</f>
        <v>#REF!</v>
      </c>
      <c r="CC8" t="e">
        <f>AND('2'!#REF!,"AAAAAF0vX1A=")</f>
        <v>#REF!</v>
      </c>
      <c r="CD8" t="e">
        <f>AND('2'!#REF!,"AAAAAF0vX1E=")</f>
        <v>#REF!</v>
      </c>
      <c r="CE8" t="e">
        <f>AND('2'!#REF!,"AAAAAF0vX1I=")</f>
        <v>#REF!</v>
      </c>
      <c r="CF8" t="e">
        <f>AND('2'!#REF!,"AAAAAF0vX1M=")</f>
        <v>#REF!</v>
      </c>
      <c r="CG8" t="e">
        <f>AND('2'!#REF!,"AAAAAF0vX1Q=")</f>
        <v>#REF!</v>
      </c>
      <c r="CH8" t="e">
        <f>AND('2'!#REF!,"AAAAAF0vX1U=")</f>
        <v>#REF!</v>
      </c>
      <c r="CI8" t="e">
        <f>AND('2'!#REF!,"AAAAAF0vX1Y=")</f>
        <v>#REF!</v>
      </c>
      <c r="CJ8" t="e">
        <f>AND('2'!#REF!,"AAAAAF0vX1c=")</f>
        <v>#REF!</v>
      </c>
      <c r="CK8" t="e">
        <f>IF('2'!#REF!,"AAAAAF0vX1g=",0)</f>
        <v>#REF!</v>
      </c>
      <c r="CL8" t="e">
        <f>AND('2'!#REF!,"AAAAAF0vX1k=")</f>
        <v>#REF!</v>
      </c>
      <c r="CM8" t="e">
        <f>AND('2'!#REF!,"AAAAAF0vX1o=")</f>
        <v>#REF!</v>
      </c>
      <c r="CN8" t="e">
        <f>AND('2'!#REF!,"AAAAAF0vX1s=")</f>
        <v>#REF!</v>
      </c>
      <c r="CO8" t="e">
        <f>AND('2'!#REF!,"AAAAAF0vX1w=")</f>
        <v>#REF!</v>
      </c>
      <c r="CP8" t="e">
        <f>AND('2'!#REF!,"AAAAAF0vX10=")</f>
        <v>#REF!</v>
      </c>
      <c r="CQ8" t="e">
        <f>AND('2'!#REF!,"AAAAAF0vX14=")</f>
        <v>#REF!</v>
      </c>
      <c r="CR8" t="e">
        <f>AND('2'!#REF!,"AAAAAF0vX18=")</f>
        <v>#REF!</v>
      </c>
      <c r="CS8" t="e">
        <f>AND('2'!#REF!,"AAAAAF0vX2A=")</f>
        <v>#REF!</v>
      </c>
      <c r="CT8" t="e">
        <f>AND('2'!#REF!,"AAAAAF0vX2E=")</f>
        <v>#REF!</v>
      </c>
      <c r="CU8" t="e">
        <f>AND('2'!#REF!,"AAAAAF0vX2I=")</f>
        <v>#REF!</v>
      </c>
      <c r="CV8" t="e">
        <f>AND('2'!#REF!,"AAAAAF0vX2M=")</f>
        <v>#REF!</v>
      </c>
      <c r="CW8" t="e">
        <f>AND('2'!#REF!,"AAAAAF0vX2Q=")</f>
        <v>#REF!</v>
      </c>
      <c r="CX8" t="e">
        <f>IF('2'!#REF!,"AAAAAF0vX2U=",0)</f>
        <v>#REF!</v>
      </c>
      <c r="CY8" t="e">
        <f>AND('2'!#REF!,"AAAAAF0vX2Y=")</f>
        <v>#REF!</v>
      </c>
      <c r="CZ8" t="e">
        <f>AND('2'!#REF!,"AAAAAF0vX2c=")</f>
        <v>#REF!</v>
      </c>
      <c r="DA8" t="e">
        <f>AND('2'!#REF!,"AAAAAF0vX2g=")</f>
        <v>#REF!</v>
      </c>
      <c r="DB8" t="e">
        <f>AND('2'!#REF!,"AAAAAF0vX2k=")</f>
        <v>#REF!</v>
      </c>
      <c r="DC8" t="e">
        <f>AND('2'!#REF!,"AAAAAF0vX2o=")</f>
        <v>#REF!</v>
      </c>
      <c r="DD8" t="e">
        <f>AND('2'!#REF!,"AAAAAF0vX2s=")</f>
        <v>#REF!</v>
      </c>
      <c r="DE8" t="e">
        <f>AND('2'!#REF!,"AAAAAF0vX2w=")</f>
        <v>#REF!</v>
      </c>
      <c r="DF8" t="e">
        <f>AND('2'!#REF!,"AAAAAF0vX20=")</f>
        <v>#REF!</v>
      </c>
      <c r="DG8" t="e">
        <f>AND('2'!#REF!,"AAAAAF0vX24=")</f>
        <v>#REF!</v>
      </c>
      <c r="DH8" t="e">
        <f>AND('2'!#REF!,"AAAAAF0vX28=")</f>
        <v>#REF!</v>
      </c>
      <c r="DI8" t="e">
        <f>AND('2'!#REF!,"AAAAAF0vX3A=")</f>
        <v>#REF!</v>
      </c>
      <c r="DJ8" t="e">
        <f>AND('2'!#REF!,"AAAAAF0vX3E=")</f>
        <v>#REF!</v>
      </c>
      <c r="DK8" t="e">
        <f>IF('2'!#REF!,"AAAAAF0vX3I=",0)</f>
        <v>#REF!</v>
      </c>
      <c r="DL8" t="e">
        <f>AND('2'!#REF!,"AAAAAF0vX3M=")</f>
        <v>#REF!</v>
      </c>
      <c r="DM8" t="e">
        <f>AND('2'!#REF!,"AAAAAF0vX3Q=")</f>
        <v>#REF!</v>
      </c>
      <c r="DN8" t="e">
        <f>AND('2'!#REF!,"AAAAAF0vX3U=")</f>
        <v>#REF!</v>
      </c>
      <c r="DO8" t="e">
        <f>AND('2'!#REF!,"AAAAAF0vX3Y=")</f>
        <v>#REF!</v>
      </c>
      <c r="DP8" t="e">
        <f>AND('2'!#REF!,"AAAAAF0vX3c=")</f>
        <v>#REF!</v>
      </c>
      <c r="DQ8" t="e">
        <f>AND('2'!#REF!,"AAAAAF0vX3g=")</f>
        <v>#REF!</v>
      </c>
      <c r="DR8" t="e">
        <f>AND('2'!#REF!,"AAAAAF0vX3k=")</f>
        <v>#REF!</v>
      </c>
      <c r="DS8" t="e">
        <f>AND('2'!#REF!,"AAAAAF0vX3o=")</f>
        <v>#REF!</v>
      </c>
      <c r="DT8" t="e">
        <f>AND('2'!#REF!,"AAAAAF0vX3s=")</f>
        <v>#REF!</v>
      </c>
      <c r="DU8" t="e">
        <f>AND('2'!#REF!,"AAAAAF0vX3w=")</f>
        <v>#REF!</v>
      </c>
      <c r="DV8" t="e">
        <f>AND('2'!#REF!,"AAAAAF0vX30=")</f>
        <v>#REF!</v>
      </c>
      <c r="DW8" t="e">
        <f>AND('2'!#REF!,"AAAAAF0vX34=")</f>
        <v>#REF!</v>
      </c>
      <c r="DX8" t="e">
        <f>IF('2'!#REF!,"AAAAAF0vX38=",0)</f>
        <v>#REF!</v>
      </c>
      <c r="DY8" t="e">
        <f>AND('2'!#REF!,"AAAAAF0vX4A=")</f>
        <v>#REF!</v>
      </c>
      <c r="DZ8" t="e">
        <f>AND('2'!#REF!,"AAAAAF0vX4E=")</f>
        <v>#REF!</v>
      </c>
      <c r="EA8" t="e">
        <f>AND('2'!#REF!,"AAAAAF0vX4I=")</f>
        <v>#REF!</v>
      </c>
      <c r="EB8" t="e">
        <f>AND('2'!#REF!,"AAAAAF0vX4M=")</f>
        <v>#REF!</v>
      </c>
      <c r="EC8" t="e">
        <f>AND('2'!#REF!,"AAAAAF0vX4Q=")</f>
        <v>#REF!</v>
      </c>
      <c r="ED8" t="e">
        <f>AND('2'!#REF!,"AAAAAF0vX4U=")</f>
        <v>#REF!</v>
      </c>
      <c r="EE8" t="e">
        <f>AND('2'!#REF!,"AAAAAF0vX4Y=")</f>
        <v>#REF!</v>
      </c>
      <c r="EF8" t="e">
        <f>AND('2'!#REF!,"AAAAAF0vX4c=")</f>
        <v>#REF!</v>
      </c>
      <c r="EG8" t="e">
        <f>AND('2'!#REF!,"AAAAAF0vX4g=")</f>
        <v>#REF!</v>
      </c>
      <c r="EH8" t="e">
        <f>AND('2'!#REF!,"AAAAAF0vX4k=")</f>
        <v>#REF!</v>
      </c>
      <c r="EI8" t="e">
        <f>AND('2'!#REF!,"AAAAAF0vX4o=")</f>
        <v>#REF!</v>
      </c>
      <c r="EJ8" t="e">
        <f>AND('2'!#REF!,"AAAAAF0vX4s=")</f>
        <v>#REF!</v>
      </c>
      <c r="EK8" t="e">
        <f>IF('2'!#REF!,"AAAAAF0vX4w=",0)</f>
        <v>#REF!</v>
      </c>
      <c r="EL8" t="e">
        <f>AND('2'!#REF!,"AAAAAF0vX40=")</f>
        <v>#REF!</v>
      </c>
      <c r="EM8" t="e">
        <f>AND('2'!#REF!,"AAAAAF0vX44=")</f>
        <v>#REF!</v>
      </c>
      <c r="EN8" t="e">
        <f>AND('2'!#REF!,"AAAAAF0vX48=")</f>
        <v>#REF!</v>
      </c>
      <c r="EO8" t="e">
        <f>AND('2'!#REF!,"AAAAAF0vX5A=")</f>
        <v>#REF!</v>
      </c>
      <c r="EP8" t="e">
        <f>AND('2'!#REF!,"AAAAAF0vX5E=")</f>
        <v>#REF!</v>
      </c>
      <c r="EQ8" t="e">
        <f>AND('2'!#REF!,"AAAAAF0vX5I=")</f>
        <v>#REF!</v>
      </c>
      <c r="ER8" t="e">
        <f>AND('2'!#REF!,"AAAAAF0vX5M=")</f>
        <v>#REF!</v>
      </c>
      <c r="ES8" t="e">
        <f>AND('2'!#REF!,"AAAAAF0vX5Q=")</f>
        <v>#REF!</v>
      </c>
      <c r="ET8" t="e">
        <f>AND('2'!#REF!,"AAAAAF0vX5U=")</f>
        <v>#REF!</v>
      </c>
      <c r="EU8" t="e">
        <f>AND('2'!#REF!,"AAAAAF0vX5Y=")</f>
        <v>#REF!</v>
      </c>
      <c r="EV8" t="e">
        <f>AND('2'!#REF!,"AAAAAF0vX5c=")</f>
        <v>#REF!</v>
      </c>
      <c r="EW8" t="e">
        <f>AND('2'!#REF!,"AAAAAF0vX5g=")</f>
        <v>#REF!</v>
      </c>
      <c r="EX8" t="e">
        <f>IF('2'!#REF!,"AAAAAF0vX5k=",0)</f>
        <v>#REF!</v>
      </c>
      <c r="EY8" t="e">
        <f>AND('2'!#REF!,"AAAAAF0vX5o=")</f>
        <v>#REF!</v>
      </c>
      <c r="EZ8" t="e">
        <f>AND('2'!#REF!,"AAAAAF0vX5s=")</f>
        <v>#REF!</v>
      </c>
      <c r="FA8" t="e">
        <f>AND('2'!#REF!,"AAAAAF0vX5w=")</f>
        <v>#REF!</v>
      </c>
      <c r="FB8" t="e">
        <f>AND('2'!#REF!,"AAAAAF0vX50=")</f>
        <v>#REF!</v>
      </c>
      <c r="FC8" t="e">
        <f>AND('2'!#REF!,"AAAAAF0vX54=")</f>
        <v>#REF!</v>
      </c>
      <c r="FD8" t="e">
        <f>AND('2'!#REF!,"AAAAAF0vX58=")</f>
        <v>#REF!</v>
      </c>
      <c r="FE8" t="e">
        <f>AND('2'!#REF!,"AAAAAF0vX6A=")</f>
        <v>#REF!</v>
      </c>
      <c r="FF8" t="e">
        <f>AND('2'!#REF!,"AAAAAF0vX6E=")</f>
        <v>#REF!</v>
      </c>
      <c r="FG8" t="e">
        <f>AND('2'!#REF!,"AAAAAF0vX6I=")</f>
        <v>#REF!</v>
      </c>
      <c r="FH8" t="e">
        <f>AND('2'!#REF!,"AAAAAF0vX6M=")</f>
        <v>#REF!</v>
      </c>
      <c r="FI8" t="e">
        <f>AND('2'!#REF!,"AAAAAF0vX6Q=")</f>
        <v>#REF!</v>
      </c>
      <c r="FJ8" t="e">
        <f>AND('2'!#REF!,"AAAAAF0vX6U=")</f>
        <v>#REF!</v>
      </c>
      <c r="FK8" t="e">
        <f>IF('2'!#REF!,"AAAAAF0vX6Y=",0)</f>
        <v>#REF!</v>
      </c>
      <c r="FL8" t="e">
        <f>AND('2'!#REF!,"AAAAAF0vX6c=")</f>
        <v>#REF!</v>
      </c>
      <c r="FM8" t="e">
        <f>AND('2'!#REF!,"AAAAAF0vX6g=")</f>
        <v>#REF!</v>
      </c>
      <c r="FN8" t="e">
        <f>AND('2'!#REF!,"AAAAAF0vX6k=")</f>
        <v>#REF!</v>
      </c>
      <c r="FO8" t="e">
        <f>AND('2'!#REF!,"AAAAAF0vX6o=")</f>
        <v>#REF!</v>
      </c>
      <c r="FP8" t="e">
        <f>AND('2'!#REF!,"AAAAAF0vX6s=")</f>
        <v>#REF!</v>
      </c>
      <c r="FQ8" t="e">
        <f>AND('2'!#REF!,"AAAAAF0vX6w=")</f>
        <v>#REF!</v>
      </c>
      <c r="FR8" t="e">
        <f>AND('2'!#REF!,"AAAAAF0vX60=")</f>
        <v>#REF!</v>
      </c>
      <c r="FS8" t="e">
        <f>AND('2'!#REF!,"AAAAAF0vX64=")</f>
        <v>#REF!</v>
      </c>
      <c r="FT8" t="e">
        <f>AND('2'!#REF!,"AAAAAF0vX68=")</f>
        <v>#REF!</v>
      </c>
      <c r="FU8" t="e">
        <f>AND('2'!#REF!,"AAAAAF0vX7A=")</f>
        <v>#REF!</v>
      </c>
      <c r="FV8" t="e">
        <f>AND('2'!#REF!,"AAAAAF0vX7E=")</f>
        <v>#REF!</v>
      </c>
      <c r="FW8" t="e">
        <f>AND('2'!#REF!,"AAAAAF0vX7I=")</f>
        <v>#REF!</v>
      </c>
      <c r="FX8" t="e">
        <f>IF('2'!#REF!,"AAAAAF0vX7M=",0)</f>
        <v>#REF!</v>
      </c>
      <c r="FY8" t="e">
        <f>AND('2'!#REF!,"AAAAAF0vX7Q=")</f>
        <v>#REF!</v>
      </c>
      <c r="FZ8" t="e">
        <f>AND('2'!#REF!,"AAAAAF0vX7U=")</f>
        <v>#REF!</v>
      </c>
      <c r="GA8" t="e">
        <f>AND('2'!#REF!,"AAAAAF0vX7Y=")</f>
        <v>#REF!</v>
      </c>
      <c r="GB8" t="e">
        <f>AND('2'!#REF!,"AAAAAF0vX7c=")</f>
        <v>#REF!</v>
      </c>
      <c r="GC8" t="e">
        <f>AND('2'!#REF!,"AAAAAF0vX7g=")</f>
        <v>#REF!</v>
      </c>
      <c r="GD8" t="e">
        <f>AND('2'!#REF!,"AAAAAF0vX7k=")</f>
        <v>#REF!</v>
      </c>
      <c r="GE8" t="e">
        <f>AND('2'!#REF!,"AAAAAF0vX7o=")</f>
        <v>#REF!</v>
      </c>
      <c r="GF8" t="e">
        <f>AND('2'!#REF!,"AAAAAF0vX7s=")</f>
        <v>#REF!</v>
      </c>
      <c r="GG8" t="e">
        <f>AND('2'!#REF!,"AAAAAF0vX7w=")</f>
        <v>#REF!</v>
      </c>
      <c r="GH8" t="e">
        <f>AND('2'!#REF!,"AAAAAF0vX70=")</f>
        <v>#REF!</v>
      </c>
      <c r="GI8" t="e">
        <f>AND('2'!#REF!,"AAAAAF0vX74=")</f>
        <v>#REF!</v>
      </c>
      <c r="GJ8" t="e">
        <f>AND('2'!#REF!,"AAAAAF0vX78=")</f>
        <v>#REF!</v>
      </c>
      <c r="GK8" t="e">
        <f>IF('2'!#REF!,"AAAAAF0vX8A=",0)</f>
        <v>#REF!</v>
      </c>
      <c r="GL8" t="e">
        <f>AND('2'!#REF!,"AAAAAF0vX8E=")</f>
        <v>#REF!</v>
      </c>
      <c r="GM8" t="e">
        <f>AND('2'!#REF!,"AAAAAF0vX8I=")</f>
        <v>#REF!</v>
      </c>
      <c r="GN8" t="e">
        <f>AND('2'!#REF!,"AAAAAF0vX8M=")</f>
        <v>#REF!</v>
      </c>
      <c r="GO8" t="e">
        <f>AND('2'!#REF!,"AAAAAF0vX8Q=")</f>
        <v>#REF!</v>
      </c>
      <c r="GP8" t="e">
        <f>AND('2'!#REF!,"AAAAAF0vX8U=")</f>
        <v>#REF!</v>
      </c>
      <c r="GQ8" t="e">
        <f>AND('2'!#REF!,"AAAAAF0vX8Y=")</f>
        <v>#REF!</v>
      </c>
      <c r="GR8" t="e">
        <f>AND('2'!#REF!,"AAAAAF0vX8c=")</f>
        <v>#REF!</v>
      </c>
      <c r="GS8" t="e">
        <f>AND('2'!#REF!,"AAAAAF0vX8g=")</f>
        <v>#REF!</v>
      </c>
      <c r="GT8" t="e">
        <f>AND('2'!#REF!,"AAAAAF0vX8k=")</f>
        <v>#REF!</v>
      </c>
      <c r="GU8" t="e">
        <f>AND('2'!#REF!,"AAAAAF0vX8o=")</f>
        <v>#REF!</v>
      </c>
      <c r="GV8" t="e">
        <f>AND('2'!#REF!,"AAAAAF0vX8s=")</f>
        <v>#REF!</v>
      </c>
      <c r="GW8" t="e">
        <f>AND('2'!#REF!,"AAAAAF0vX8w=")</f>
        <v>#REF!</v>
      </c>
      <c r="GX8" t="e">
        <f>IF('2'!#REF!,"AAAAAF0vX80=",0)</f>
        <v>#REF!</v>
      </c>
      <c r="GY8" t="e">
        <f>AND('2'!#REF!,"AAAAAF0vX84=")</f>
        <v>#REF!</v>
      </c>
      <c r="GZ8" t="e">
        <f>AND('2'!#REF!,"AAAAAF0vX88=")</f>
        <v>#REF!</v>
      </c>
      <c r="HA8" t="e">
        <f>AND('2'!#REF!,"AAAAAF0vX9A=")</f>
        <v>#REF!</v>
      </c>
      <c r="HB8" t="e">
        <f>AND('2'!#REF!,"AAAAAF0vX9E=")</f>
        <v>#REF!</v>
      </c>
      <c r="HC8" t="e">
        <f>AND('2'!#REF!,"AAAAAF0vX9I=")</f>
        <v>#REF!</v>
      </c>
      <c r="HD8" t="e">
        <f>AND('2'!#REF!,"AAAAAF0vX9M=")</f>
        <v>#REF!</v>
      </c>
      <c r="HE8" t="e">
        <f>AND('2'!#REF!,"AAAAAF0vX9Q=")</f>
        <v>#REF!</v>
      </c>
      <c r="HF8" t="e">
        <f>AND('2'!#REF!,"AAAAAF0vX9U=")</f>
        <v>#REF!</v>
      </c>
      <c r="HG8" t="e">
        <f>AND('2'!#REF!,"AAAAAF0vX9Y=")</f>
        <v>#REF!</v>
      </c>
      <c r="HH8" t="e">
        <f>AND('2'!#REF!,"AAAAAF0vX9c=")</f>
        <v>#REF!</v>
      </c>
      <c r="HI8" t="e">
        <f>AND('2'!#REF!,"AAAAAF0vX9g=")</f>
        <v>#REF!</v>
      </c>
      <c r="HJ8" t="e">
        <f>AND('2'!#REF!,"AAAAAF0vX9k=")</f>
        <v>#REF!</v>
      </c>
      <c r="HK8" t="e">
        <f>IF('2'!#REF!,"AAAAAF0vX9o=",0)</f>
        <v>#REF!</v>
      </c>
      <c r="HL8" t="e">
        <f>AND('2'!#REF!,"AAAAAF0vX9s=")</f>
        <v>#REF!</v>
      </c>
      <c r="HM8" t="e">
        <f>AND('2'!#REF!,"AAAAAF0vX9w=")</f>
        <v>#REF!</v>
      </c>
      <c r="HN8" t="e">
        <f>AND('2'!#REF!,"AAAAAF0vX90=")</f>
        <v>#REF!</v>
      </c>
      <c r="HO8" t="e">
        <f>AND('2'!#REF!,"AAAAAF0vX94=")</f>
        <v>#REF!</v>
      </c>
      <c r="HP8" t="e">
        <f>AND('2'!#REF!,"AAAAAF0vX98=")</f>
        <v>#REF!</v>
      </c>
      <c r="HQ8" t="e">
        <f>AND('2'!#REF!,"AAAAAF0vX+A=")</f>
        <v>#REF!</v>
      </c>
      <c r="HR8" t="e">
        <f>AND('2'!#REF!,"AAAAAF0vX+E=")</f>
        <v>#REF!</v>
      </c>
      <c r="HS8" t="e">
        <f>AND('2'!#REF!,"AAAAAF0vX+I=")</f>
        <v>#REF!</v>
      </c>
      <c r="HT8" t="e">
        <f>AND('2'!#REF!,"AAAAAF0vX+M=")</f>
        <v>#REF!</v>
      </c>
      <c r="HU8" t="e">
        <f>AND('2'!#REF!,"AAAAAF0vX+Q=")</f>
        <v>#REF!</v>
      </c>
      <c r="HV8" t="e">
        <f>AND('2'!#REF!,"AAAAAF0vX+U=")</f>
        <v>#REF!</v>
      </c>
      <c r="HW8" t="e">
        <f>AND('2'!#REF!,"AAAAAF0vX+Y=")</f>
        <v>#REF!</v>
      </c>
      <c r="HX8" t="e">
        <f>IF('2'!#REF!,"AAAAAF0vX+c=",0)</f>
        <v>#REF!</v>
      </c>
      <c r="HY8" t="e">
        <f>AND('2'!#REF!,"AAAAAF0vX+g=")</f>
        <v>#REF!</v>
      </c>
      <c r="HZ8" t="e">
        <f>AND('2'!#REF!,"AAAAAF0vX+k=")</f>
        <v>#REF!</v>
      </c>
      <c r="IA8" t="e">
        <f>AND('2'!#REF!,"AAAAAF0vX+o=")</f>
        <v>#REF!</v>
      </c>
      <c r="IB8" t="e">
        <f>AND('2'!#REF!,"AAAAAF0vX+s=")</f>
        <v>#REF!</v>
      </c>
      <c r="IC8" t="e">
        <f>AND('2'!#REF!,"AAAAAF0vX+w=")</f>
        <v>#REF!</v>
      </c>
      <c r="ID8" t="e">
        <f>AND('2'!#REF!,"AAAAAF0vX+0=")</f>
        <v>#REF!</v>
      </c>
      <c r="IE8" t="e">
        <f>AND('2'!#REF!,"AAAAAF0vX+4=")</f>
        <v>#REF!</v>
      </c>
      <c r="IF8" t="e">
        <f>AND('2'!#REF!,"AAAAAF0vX+8=")</f>
        <v>#REF!</v>
      </c>
      <c r="IG8" t="e">
        <f>AND('2'!#REF!,"AAAAAF0vX/A=")</f>
        <v>#REF!</v>
      </c>
      <c r="IH8" t="e">
        <f>AND('2'!#REF!,"AAAAAF0vX/E=")</f>
        <v>#REF!</v>
      </c>
      <c r="II8" t="e">
        <f>AND('2'!#REF!,"AAAAAF0vX/I=")</f>
        <v>#REF!</v>
      </c>
      <c r="IJ8" t="e">
        <f>AND('2'!#REF!,"AAAAAF0vX/M=")</f>
        <v>#REF!</v>
      </c>
      <c r="IK8" t="e">
        <f>IF('2'!#REF!,"AAAAAF0vX/Q=",0)</f>
        <v>#REF!</v>
      </c>
      <c r="IL8" t="e">
        <f>AND('2'!#REF!,"AAAAAF0vX/U=")</f>
        <v>#REF!</v>
      </c>
      <c r="IM8" t="e">
        <f>AND('2'!#REF!,"AAAAAF0vX/Y=")</f>
        <v>#REF!</v>
      </c>
      <c r="IN8" t="e">
        <f>AND('2'!#REF!,"AAAAAF0vX/c=")</f>
        <v>#REF!</v>
      </c>
      <c r="IO8" t="e">
        <f>AND('2'!#REF!,"AAAAAF0vX/g=")</f>
        <v>#REF!</v>
      </c>
      <c r="IP8" t="e">
        <f>AND('2'!#REF!,"AAAAAF0vX/k=")</f>
        <v>#REF!</v>
      </c>
      <c r="IQ8" t="e">
        <f>AND('2'!#REF!,"AAAAAF0vX/o=")</f>
        <v>#REF!</v>
      </c>
      <c r="IR8" t="e">
        <f>AND('2'!#REF!,"AAAAAF0vX/s=")</f>
        <v>#REF!</v>
      </c>
      <c r="IS8" t="e">
        <f>AND('2'!#REF!,"AAAAAF0vX/w=")</f>
        <v>#REF!</v>
      </c>
      <c r="IT8" t="e">
        <f>AND('2'!#REF!,"AAAAAF0vX/0=")</f>
        <v>#REF!</v>
      </c>
      <c r="IU8" t="e">
        <f>AND('2'!#REF!,"AAAAAF0vX/4=")</f>
        <v>#REF!</v>
      </c>
      <c r="IV8" t="e">
        <f>AND('2'!#REF!,"AAAAAF0vX/8=")</f>
        <v>#REF!</v>
      </c>
    </row>
    <row r="9" spans="1:256" x14ac:dyDescent="0.25">
      <c r="A9" t="e">
        <f>AND('2'!#REF!,"AAAAAHV7vAA=")</f>
        <v>#REF!</v>
      </c>
      <c r="B9" t="e">
        <f>IF('2'!#REF!,"AAAAAHV7vAE=",0)</f>
        <v>#REF!</v>
      </c>
      <c r="C9" t="e">
        <f>AND('2'!#REF!,"AAAAAHV7vAI=")</f>
        <v>#REF!</v>
      </c>
      <c r="D9" t="e">
        <f>AND('2'!#REF!,"AAAAAHV7vAM=")</f>
        <v>#REF!</v>
      </c>
      <c r="E9" t="e">
        <f>AND('2'!#REF!,"AAAAAHV7vAQ=")</f>
        <v>#REF!</v>
      </c>
      <c r="F9" t="e">
        <f>AND('2'!#REF!,"AAAAAHV7vAU=")</f>
        <v>#REF!</v>
      </c>
      <c r="G9" t="e">
        <f>AND('2'!#REF!,"AAAAAHV7vAY=")</f>
        <v>#REF!</v>
      </c>
      <c r="H9" t="e">
        <f>AND('2'!#REF!,"AAAAAHV7vAc=")</f>
        <v>#REF!</v>
      </c>
      <c r="I9" t="e">
        <f>AND('2'!#REF!,"AAAAAHV7vAg=")</f>
        <v>#REF!</v>
      </c>
      <c r="J9" t="e">
        <f>AND('2'!#REF!,"AAAAAHV7vAk=")</f>
        <v>#REF!</v>
      </c>
      <c r="K9" t="e">
        <f>AND('2'!#REF!,"AAAAAHV7vAo=")</f>
        <v>#REF!</v>
      </c>
      <c r="L9" t="e">
        <f>AND('2'!#REF!,"AAAAAHV7vAs=")</f>
        <v>#REF!</v>
      </c>
      <c r="M9" t="e">
        <f>AND('2'!#REF!,"AAAAAHV7vAw=")</f>
        <v>#REF!</v>
      </c>
      <c r="N9" t="e">
        <f>AND('2'!#REF!,"AAAAAHV7vA0=")</f>
        <v>#REF!</v>
      </c>
      <c r="O9" t="e">
        <f>IF('2'!#REF!,"AAAAAHV7vA4=",0)</f>
        <v>#REF!</v>
      </c>
      <c r="P9" t="e">
        <f>AND('2'!#REF!,"AAAAAHV7vA8=")</f>
        <v>#REF!</v>
      </c>
      <c r="Q9" t="e">
        <f>AND('2'!#REF!,"AAAAAHV7vBA=")</f>
        <v>#REF!</v>
      </c>
      <c r="R9" t="e">
        <f>AND('2'!#REF!,"AAAAAHV7vBE=")</f>
        <v>#REF!</v>
      </c>
      <c r="S9" t="e">
        <f>AND('2'!#REF!,"AAAAAHV7vBI=")</f>
        <v>#REF!</v>
      </c>
      <c r="T9" t="e">
        <f>AND('2'!#REF!,"AAAAAHV7vBM=")</f>
        <v>#REF!</v>
      </c>
      <c r="U9" t="e">
        <f>AND('2'!#REF!,"AAAAAHV7vBQ=")</f>
        <v>#REF!</v>
      </c>
      <c r="V9" t="e">
        <f>AND('2'!#REF!,"AAAAAHV7vBU=")</f>
        <v>#REF!</v>
      </c>
      <c r="W9" t="e">
        <f>AND('2'!#REF!,"AAAAAHV7vBY=")</f>
        <v>#REF!</v>
      </c>
      <c r="X9" t="e">
        <f>AND('2'!#REF!,"AAAAAHV7vBc=")</f>
        <v>#REF!</v>
      </c>
      <c r="Y9" t="e">
        <f>AND('2'!#REF!,"AAAAAHV7vBg=")</f>
        <v>#REF!</v>
      </c>
      <c r="Z9" t="e">
        <f>AND('2'!#REF!,"AAAAAHV7vBk=")</f>
        <v>#REF!</v>
      </c>
      <c r="AA9" t="e">
        <f>AND('2'!#REF!,"AAAAAHV7vBo=")</f>
        <v>#REF!</v>
      </c>
      <c r="AB9" t="e">
        <f>IF('2'!#REF!,"AAAAAHV7vBs=",0)</f>
        <v>#REF!</v>
      </c>
      <c r="AC9" t="e">
        <f>AND('2'!#REF!,"AAAAAHV7vBw=")</f>
        <v>#REF!</v>
      </c>
      <c r="AD9" t="e">
        <f>AND('2'!#REF!,"AAAAAHV7vB0=")</f>
        <v>#REF!</v>
      </c>
      <c r="AE9" t="e">
        <f>AND('2'!#REF!,"AAAAAHV7vB4=")</f>
        <v>#REF!</v>
      </c>
      <c r="AF9" t="e">
        <f>AND('2'!#REF!,"AAAAAHV7vB8=")</f>
        <v>#REF!</v>
      </c>
      <c r="AG9" t="e">
        <f>AND('2'!#REF!,"AAAAAHV7vCA=")</f>
        <v>#REF!</v>
      </c>
      <c r="AH9" t="e">
        <f>AND('2'!#REF!,"AAAAAHV7vCE=")</f>
        <v>#REF!</v>
      </c>
      <c r="AI9" t="e">
        <f>AND('2'!#REF!,"AAAAAHV7vCI=")</f>
        <v>#REF!</v>
      </c>
      <c r="AJ9" t="e">
        <f>AND('2'!#REF!,"AAAAAHV7vCM=")</f>
        <v>#REF!</v>
      </c>
      <c r="AK9" t="e">
        <f>AND('2'!#REF!,"AAAAAHV7vCQ=")</f>
        <v>#REF!</v>
      </c>
      <c r="AL9" t="e">
        <f>AND('2'!#REF!,"AAAAAHV7vCU=")</f>
        <v>#REF!</v>
      </c>
      <c r="AM9" t="e">
        <f>AND('2'!#REF!,"AAAAAHV7vCY=")</f>
        <v>#REF!</v>
      </c>
      <c r="AN9" t="e">
        <f>AND('2'!#REF!,"AAAAAHV7vCc=")</f>
        <v>#REF!</v>
      </c>
      <c r="AO9" t="e">
        <f>IF('2'!#REF!,"AAAAAHV7vCg=",0)</f>
        <v>#REF!</v>
      </c>
      <c r="AP9" t="e">
        <f>AND('2'!#REF!,"AAAAAHV7vCk=")</f>
        <v>#REF!</v>
      </c>
      <c r="AQ9" t="e">
        <f>AND('2'!#REF!,"AAAAAHV7vCo=")</f>
        <v>#REF!</v>
      </c>
      <c r="AR9" t="e">
        <f>AND('2'!#REF!,"AAAAAHV7vCs=")</f>
        <v>#REF!</v>
      </c>
      <c r="AS9" t="e">
        <f>AND('2'!#REF!,"AAAAAHV7vCw=")</f>
        <v>#REF!</v>
      </c>
      <c r="AT9" t="e">
        <f>AND('2'!#REF!,"AAAAAHV7vC0=")</f>
        <v>#REF!</v>
      </c>
      <c r="AU9" t="e">
        <f>AND('2'!#REF!,"AAAAAHV7vC4=")</f>
        <v>#REF!</v>
      </c>
      <c r="AV9" t="e">
        <f>AND('2'!#REF!,"AAAAAHV7vC8=")</f>
        <v>#REF!</v>
      </c>
      <c r="AW9" t="e">
        <f>AND('2'!#REF!,"AAAAAHV7vDA=")</f>
        <v>#REF!</v>
      </c>
      <c r="AX9" t="e">
        <f>AND('2'!#REF!,"AAAAAHV7vDE=")</f>
        <v>#REF!</v>
      </c>
      <c r="AY9" t="e">
        <f>AND('2'!#REF!,"AAAAAHV7vDI=")</f>
        <v>#REF!</v>
      </c>
      <c r="AZ9" t="e">
        <f>AND('2'!#REF!,"AAAAAHV7vDM=")</f>
        <v>#REF!</v>
      </c>
      <c r="BA9" t="e">
        <f>AND('2'!#REF!,"AAAAAHV7vDQ=")</f>
        <v>#REF!</v>
      </c>
      <c r="BB9" t="e">
        <f>IF('2'!#REF!,"AAAAAHV7vDU=",0)</f>
        <v>#REF!</v>
      </c>
      <c r="BC9" t="e">
        <f>AND('2'!#REF!,"AAAAAHV7vDY=")</f>
        <v>#REF!</v>
      </c>
      <c r="BD9" t="e">
        <f>AND('2'!#REF!,"AAAAAHV7vDc=")</f>
        <v>#REF!</v>
      </c>
      <c r="BE9" t="e">
        <f>AND('2'!#REF!,"AAAAAHV7vDg=")</f>
        <v>#REF!</v>
      </c>
      <c r="BF9" t="e">
        <f>AND('2'!#REF!,"AAAAAHV7vDk=")</f>
        <v>#REF!</v>
      </c>
      <c r="BG9" t="e">
        <f>AND('2'!#REF!,"AAAAAHV7vDo=")</f>
        <v>#REF!</v>
      </c>
      <c r="BH9" t="e">
        <f>AND('2'!#REF!,"AAAAAHV7vDs=")</f>
        <v>#REF!</v>
      </c>
      <c r="BI9" t="e">
        <f>AND('2'!#REF!,"AAAAAHV7vDw=")</f>
        <v>#REF!</v>
      </c>
      <c r="BJ9" t="e">
        <f>AND('2'!#REF!,"AAAAAHV7vD0=")</f>
        <v>#REF!</v>
      </c>
      <c r="BK9" t="e">
        <f>AND('2'!#REF!,"AAAAAHV7vD4=")</f>
        <v>#REF!</v>
      </c>
      <c r="BL9" t="e">
        <f>AND('2'!#REF!,"AAAAAHV7vD8=")</f>
        <v>#REF!</v>
      </c>
      <c r="BM9" t="e">
        <f>AND('2'!#REF!,"AAAAAHV7vEA=")</f>
        <v>#REF!</v>
      </c>
      <c r="BN9" t="e">
        <f>AND('2'!#REF!,"AAAAAHV7vEE=")</f>
        <v>#REF!</v>
      </c>
      <c r="BO9" t="e">
        <f>IF('2'!#REF!,"AAAAAHV7vEI=",0)</f>
        <v>#REF!</v>
      </c>
      <c r="BP9" t="e">
        <f>AND('2'!#REF!,"AAAAAHV7vEM=")</f>
        <v>#REF!</v>
      </c>
      <c r="BQ9" t="e">
        <f>AND('2'!#REF!,"AAAAAHV7vEQ=")</f>
        <v>#REF!</v>
      </c>
      <c r="BR9" t="e">
        <f>AND('2'!#REF!,"AAAAAHV7vEU=")</f>
        <v>#REF!</v>
      </c>
      <c r="BS9" t="e">
        <f>AND('2'!#REF!,"AAAAAHV7vEY=")</f>
        <v>#REF!</v>
      </c>
      <c r="BT9" t="e">
        <f>AND('2'!#REF!,"AAAAAHV7vEc=")</f>
        <v>#REF!</v>
      </c>
      <c r="BU9" t="e">
        <f>AND('2'!#REF!,"AAAAAHV7vEg=")</f>
        <v>#REF!</v>
      </c>
      <c r="BV9" t="e">
        <f>AND('2'!#REF!,"AAAAAHV7vEk=")</f>
        <v>#REF!</v>
      </c>
      <c r="BW9" t="e">
        <f>AND('2'!#REF!,"AAAAAHV7vEo=")</f>
        <v>#REF!</v>
      </c>
      <c r="BX9" t="e">
        <f>AND('2'!#REF!,"AAAAAHV7vEs=")</f>
        <v>#REF!</v>
      </c>
      <c r="BY9" t="e">
        <f>AND('2'!#REF!,"AAAAAHV7vEw=")</f>
        <v>#REF!</v>
      </c>
      <c r="BZ9" t="e">
        <f>AND('2'!#REF!,"AAAAAHV7vE0=")</f>
        <v>#REF!</v>
      </c>
      <c r="CA9" t="e">
        <f>AND('2'!#REF!,"AAAAAHV7vE4=")</f>
        <v>#REF!</v>
      </c>
      <c r="CB9" t="e">
        <f>IF('2'!#REF!,"AAAAAHV7vE8=",0)</f>
        <v>#REF!</v>
      </c>
      <c r="CC9" t="e">
        <f>AND('2'!#REF!,"AAAAAHV7vFA=")</f>
        <v>#REF!</v>
      </c>
      <c r="CD9" t="e">
        <f>AND('2'!#REF!,"AAAAAHV7vFE=")</f>
        <v>#REF!</v>
      </c>
      <c r="CE9" t="e">
        <f>AND('2'!#REF!,"AAAAAHV7vFI=")</f>
        <v>#REF!</v>
      </c>
      <c r="CF9" t="e">
        <f>AND('2'!#REF!,"AAAAAHV7vFM=")</f>
        <v>#REF!</v>
      </c>
      <c r="CG9" t="e">
        <f>AND('2'!#REF!,"AAAAAHV7vFQ=")</f>
        <v>#REF!</v>
      </c>
      <c r="CH9" t="e">
        <f>AND('2'!#REF!,"AAAAAHV7vFU=")</f>
        <v>#REF!</v>
      </c>
      <c r="CI9" t="e">
        <f>AND('2'!#REF!,"AAAAAHV7vFY=")</f>
        <v>#REF!</v>
      </c>
      <c r="CJ9" t="e">
        <f>AND('2'!#REF!,"AAAAAHV7vFc=")</f>
        <v>#REF!</v>
      </c>
      <c r="CK9" t="e">
        <f>AND('2'!#REF!,"AAAAAHV7vFg=")</f>
        <v>#REF!</v>
      </c>
      <c r="CL9" t="e">
        <f>AND('2'!#REF!,"AAAAAHV7vFk=")</f>
        <v>#REF!</v>
      </c>
      <c r="CM9" t="e">
        <f>AND('2'!#REF!,"AAAAAHV7vFo=")</f>
        <v>#REF!</v>
      </c>
      <c r="CN9" t="e">
        <f>AND('2'!#REF!,"AAAAAHV7vFs=")</f>
        <v>#REF!</v>
      </c>
      <c r="CO9" t="e">
        <f>IF('2'!#REF!,"AAAAAHV7vFw=",0)</f>
        <v>#REF!</v>
      </c>
      <c r="CP9" t="e">
        <f>AND('2'!#REF!,"AAAAAHV7vF0=")</f>
        <v>#REF!</v>
      </c>
      <c r="CQ9" t="e">
        <f>AND('2'!#REF!,"AAAAAHV7vF4=")</f>
        <v>#REF!</v>
      </c>
      <c r="CR9" t="e">
        <f>AND('2'!#REF!,"AAAAAHV7vF8=")</f>
        <v>#REF!</v>
      </c>
      <c r="CS9" t="e">
        <f>AND('2'!#REF!,"AAAAAHV7vGA=")</f>
        <v>#REF!</v>
      </c>
      <c r="CT9" t="e">
        <f>AND('2'!#REF!,"AAAAAHV7vGE=")</f>
        <v>#REF!</v>
      </c>
      <c r="CU9" t="e">
        <f>AND('2'!#REF!,"AAAAAHV7vGI=")</f>
        <v>#REF!</v>
      </c>
      <c r="CV9" t="e">
        <f>AND('2'!#REF!,"AAAAAHV7vGM=")</f>
        <v>#REF!</v>
      </c>
      <c r="CW9" t="e">
        <f>AND('2'!#REF!,"AAAAAHV7vGQ=")</f>
        <v>#REF!</v>
      </c>
      <c r="CX9" t="e">
        <f>AND('2'!#REF!,"AAAAAHV7vGU=")</f>
        <v>#REF!</v>
      </c>
      <c r="CY9" t="e">
        <f>AND('2'!#REF!,"AAAAAHV7vGY=")</f>
        <v>#REF!</v>
      </c>
      <c r="CZ9" t="e">
        <f>AND('2'!#REF!,"AAAAAHV7vGc=")</f>
        <v>#REF!</v>
      </c>
      <c r="DA9" t="e">
        <f>AND('2'!#REF!,"AAAAAHV7vGg=")</f>
        <v>#REF!</v>
      </c>
      <c r="DB9" t="e">
        <f>IF('2'!#REF!,"AAAAAHV7vGk=",0)</f>
        <v>#REF!</v>
      </c>
      <c r="DC9" t="e">
        <f>AND('2'!#REF!,"AAAAAHV7vGo=")</f>
        <v>#REF!</v>
      </c>
      <c r="DD9" t="e">
        <f>AND('2'!#REF!,"AAAAAHV7vGs=")</f>
        <v>#REF!</v>
      </c>
      <c r="DE9" t="e">
        <f>AND('2'!#REF!,"AAAAAHV7vGw=")</f>
        <v>#REF!</v>
      </c>
      <c r="DF9" t="e">
        <f>AND('2'!#REF!,"AAAAAHV7vG0=")</f>
        <v>#REF!</v>
      </c>
      <c r="DG9" t="e">
        <f>AND('2'!#REF!,"AAAAAHV7vG4=")</f>
        <v>#REF!</v>
      </c>
      <c r="DH9" t="e">
        <f>AND('2'!#REF!,"AAAAAHV7vG8=")</f>
        <v>#REF!</v>
      </c>
      <c r="DI9" t="e">
        <f>AND('2'!#REF!,"AAAAAHV7vHA=")</f>
        <v>#REF!</v>
      </c>
      <c r="DJ9" t="e">
        <f>AND('2'!#REF!,"AAAAAHV7vHE=")</f>
        <v>#REF!</v>
      </c>
      <c r="DK9" t="e">
        <f>AND('2'!#REF!,"AAAAAHV7vHI=")</f>
        <v>#REF!</v>
      </c>
      <c r="DL9" t="e">
        <f>AND('2'!#REF!,"AAAAAHV7vHM=")</f>
        <v>#REF!</v>
      </c>
      <c r="DM9" t="e">
        <f>AND('2'!#REF!,"AAAAAHV7vHQ=")</f>
        <v>#REF!</v>
      </c>
      <c r="DN9" t="e">
        <f>AND('2'!#REF!,"AAAAAHV7vHU=")</f>
        <v>#REF!</v>
      </c>
      <c r="DO9" t="e">
        <f>IF('2'!#REF!,"AAAAAHV7vHY=",0)</f>
        <v>#REF!</v>
      </c>
      <c r="DP9" t="e">
        <f>AND('2'!#REF!,"AAAAAHV7vHc=")</f>
        <v>#REF!</v>
      </c>
      <c r="DQ9" t="e">
        <f>AND('2'!#REF!,"AAAAAHV7vHg=")</f>
        <v>#REF!</v>
      </c>
      <c r="DR9" t="e">
        <f>AND('2'!#REF!,"AAAAAHV7vHk=")</f>
        <v>#REF!</v>
      </c>
      <c r="DS9" t="e">
        <f>AND('2'!#REF!,"AAAAAHV7vHo=")</f>
        <v>#REF!</v>
      </c>
      <c r="DT9" t="e">
        <f>AND('2'!#REF!,"AAAAAHV7vHs=")</f>
        <v>#REF!</v>
      </c>
      <c r="DU9" t="e">
        <f>AND('2'!#REF!,"AAAAAHV7vHw=")</f>
        <v>#REF!</v>
      </c>
      <c r="DV9" t="e">
        <f>AND('2'!#REF!,"AAAAAHV7vH0=")</f>
        <v>#REF!</v>
      </c>
      <c r="DW9" t="e">
        <f>AND('2'!#REF!,"AAAAAHV7vH4=")</f>
        <v>#REF!</v>
      </c>
      <c r="DX9" t="e">
        <f>AND('2'!#REF!,"AAAAAHV7vH8=")</f>
        <v>#REF!</v>
      </c>
      <c r="DY9" t="e">
        <f>AND('2'!#REF!,"AAAAAHV7vIA=")</f>
        <v>#REF!</v>
      </c>
      <c r="DZ9" t="e">
        <f>AND('2'!#REF!,"AAAAAHV7vIE=")</f>
        <v>#REF!</v>
      </c>
      <c r="EA9" t="e">
        <f>AND('2'!#REF!,"AAAAAHV7vII=")</f>
        <v>#REF!</v>
      </c>
      <c r="EB9" t="e">
        <f>IF('2'!#REF!,"AAAAAHV7vIM=",0)</f>
        <v>#REF!</v>
      </c>
      <c r="EC9" t="e">
        <f>AND('2'!#REF!,"AAAAAHV7vIQ=")</f>
        <v>#REF!</v>
      </c>
      <c r="ED9" t="e">
        <f>AND('2'!#REF!,"AAAAAHV7vIU=")</f>
        <v>#REF!</v>
      </c>
      <c r="EE9" t="e">
        <f>AND('2'!#REF!,"AAAAAHV7vIY=")</f>
        <v>#REF!</v>
      </c>
      <c r="EF9" t="e">
        <f>AND('2'!#REF!,"AAAAAHV7vIc=")</f>
        <v>#REF!</v>
      </c>
      <c r="EG9" t="e">
        <f>AND('2'!#REF!,"AAAAAHV7vIg=")</f>
        <v>#REF!</v>
      </c>
      <c r="EH9" t="e">
        <f>AND('2'!#REF!,"AAAAAHV7vIk=")</f>
        <v>#REF!</v>
      </c>
      <c r="EI9" t="e">
        <f>AND('2'!#REF!,"AAAAAHV7vIo=")</f>
        <v>#REF!</v>
      </c>
      <c r="EJ9" t="e">
        <f>AND('2'!#REF!,"AAAAAHV7vIs=")</f>
        <v>#REF!</v>
      </c>
      <c r="EK9" t="e">
        <f>AND('2'!#REF!,"AAAAAHV7vIw=")</f>
        <v>#REF!</v>
      </c>
      <c r="EL9" t="e">
        <f>AND('2'!#REF!,"AAAAAHV7vI0=")</f>
        <v>#REF!</v>
      </c>
      <c r="EM9" t="e">
        <f>AND('2'!#REF!,"AAAAAHV7vI4=")</f>
        <v>#REF!</v>
      </c>
      <c r="EN9" t="e">
        <f>AND('2'!#REF!,"AAAAAHV7vI8=")</f>
        <v>#REF!</v>
      </c>
      <c r="EO9" t="e">
        <f>IF('2'!#REF!,"AAAAAHV7vJA=",0)</f>
        <v>#REF!</v>
      </c>
      <c r="EP9" t="e">
        <f>AND('2'!#REF!,"AAAAAHV7vJE=")</f>
        <v>#REF!</v>
      </c>
      <c r="EQ9" t="e">
        <f>AND('2'!#REF!,"AAAAAHV7vJI=")</f>
        <v>#REF!</v>
      </c>
      <c r="ER9" t="e">
        <f>AND('2'!#REF!,"AAAAAHV7vJM=")</f>
        <v>#REF!</v>
      </c>
      <c r="ES9" t="e">
        <f>AND('2'!#REF!,"AAAAAHV7vJQ=")</f>
        <v>#REF!</v>
      </c>
      <c r="ET9" t="e">
        <f>AND('2'!#REF!,"AAAAAHV7vJU=")</f>
        <v>#REF!</v>
      </c>
      <c r="EU9" t="e">
        <f>AND('2'!#REF!,"AAAAAHV7vJY=")</f>
        <v>#REF!</v>
      </c>
      <c r="EV9" t="e">
        <f>AND('2'!#REF!,"AAAAAHV7vJc=")</f>
        <v>#REF!</v>
      </c>
      <c r="EW9" t="e">
        <f>AND('2'!#REF!,"AAAAAHV7vJg=")</f>
        <v>#REF!</v>
      </c>
      <c r="EX9" t="e">
        <f>AND('2'!#REF!,"AAAAAHV7vJk=")</f>
        <v>#REF!</v>
      </c>
      <c r="EY9" t="e">
        <f>AND('2'!#REF!,"AAAAAHV7vJo=")</f>
        <v>#REF!</v>
      </c>
      <c r="EZ9" t="e">
        <f>AND('2'!#REF!,"AAAAAHV7vJs=")</f>
        <v>#REF!</v>
      </c>
      <c r="FA9" t="e">
        <f>AND('2'!#REF!,"AAAAAHV7vJw=")</f>
        <v>#REF!</v>
      </c>
      <c r="FB9" t="e">
        <f>IF('2'!#REF!,"AAAAAHV7vJ0=",0)</f>
        <v>#REF!</v>
      </c>
      <c r="FC9" t="e">
        <f>AND('2'!#REF!,"AAAAAHV7vJ4=")</f>
        <v>#REF!</v>
      </c>
      <c r="FD9" t="e">
        <f>AND('2'!#REF!,"AAAAAHV7vJ8=")</f>
        <v>#REF!</v>
      </c>
      <c r="FE9" t="e">
        <f>AND('2'!#REF!,"AAAAAHV7vKA=")</f>
        <v>#REF!</v>
      </c>
      <c r="FF9" t="e">
        <f>AND('2'!#REF!,"AAAAAHV7vKE=")</f>
        <v>#REF!</v>
      </c>
      <c r="FG9" t="e">
        <f>AND('2'!#REF!,"AAAAAHV7vKI=")</f>
        <v>#REF!</v>
      </c>
      <c r="FH9" t="e">
        <f>AND('2'!#REF!,"AAAAAHV7vKM=")</f>
        <v>#REF!</v>
      </c>
      <c r="FI9" t="e">
        <f>AND('2'!#REF!,"AAAAAHV7vKQ=")</f>
        <v>#REF!</v>
      </c>
      <c r="FJ9" t="e">
        <f>AND('2'!#REF!,"AAAAAHV7vKU=")</f>
        <v>#REF!</v>
      </c>
      <c r="FK9" t="e">
        <f>AND('2'!#REF!,"AAAAAHV7vKY=")</f>
        <v>#REF!</v>
      </c>
      <c r="FL9" t="e">
        <f>AND('2'!#REF!,"AAAAAHV7vKc=")</f>
        <v>#REF!</v>
      </c>
      <c r="FM9" t="e">
        <f>AND('2'!#REF!,"AAAAAHV7vKg=")</f>
        <v>#REF!</v>
      </c>
      <c r="FN9" t="e">
        <f>AND('2'!#REF!,"AAAAAHV7vKk=")</f>
        <v>#REF!</v>
      </c>
      <c r="FO9">
        <f>IF('2'!69:69,"AAAAAHV7vKo=",0)</f>
        <v>0</v>
      </c>
      <c r="FP9" t="e">
        <f>AND('2'!#REF!,"AAAAAHV7vKs=")</f>
        <v>#REF!</v>
      </c>
      <c r="FQ9" t="e">
        <f>AND('2'!A69,"AAAAAHV7vKw=")</f>
        <v>#VALUE!</v>
      </c>
      <c r="FR9" t="e">
        <f>AND('2'!B69,"AAAAAHV7vK0=")</f>
        <v>#VALUE!</v>
      </c>
      <c r="FS9" t="e">
        <f>AND('2'!C69,"AAAAAHV7vK4=")</f>
        <v>#VALUE!</v>
      </c>
      <c r="FT9" t="e">
        <f>AND('2'!D69,"AAAAAHV7vK8=")</f>
        <v>#VALUE!</v>
      </c>
      <c r="FU9" t="e">
        <f>AND('2'!E69,"AAAAAHV7vLA=")</f>
        <v>#VALUE!</v>
      </c>
      <c r="FV9" t="e">
        <f>AND('2'!F69,"AAAAAHV7vLE=")</f>
        <v>#VALUE!</v>
      </c>
      <c r="FW9" t="e">
        <f>AND('2'!G69,"AAAAAHV7vLI=")</f>
        <v>#VALUE!</v>
      </c>
      <c r="FX9" t="e">
        <f>AND('2'!H69,"AAAAAHV7vLM=")</f>
        <v>#VALUE!</v>
      </c>
      <c r="FY9" t="e">
        <f>AND('2'!I69,"AAAAAHV7vLQ=")</f>
        <v>#VALUE!</v>
      </c>
      <c r="FZ9" t="e">
        <f>AND('2'!J69,"AAAAAHV7vLU=")</f>
        <v>#VALUE!</v>
      </c>
      <c r="GA9" t="e">
        <f>AND('2'!K69,"AAAAAHV7vLY=")</f>
        <v>#VALUE!</v>
      </c>
      <c r="GB9">
        <f>IF('2'!70:70,"AAAAAHV7vLc=",0)</f>
        <v>0</v>
      </c>
      <c r="GC9" t="e">
        <f>AND('2'!#REF!,"AAAAAHV7vLg=")</f>
        <v>#REF!</v>
      </c>
      <c r="GD9" t="e">
        <f>AND('2'!A70,"AAAAAHV7vLk=")</f>
        <v>#VALUE!</v>
      </c>
      <c r="GE9" t="e">
        <f>AND('2'!B70,"AAAAAHV7vLo=")</f>
        <v>#VALUE!</v>
      </c>
      <c r="GF9" t="e">
        <f>AND('2'!C70,"AAAAAHV7vLs=")</f>
        <v>#VALUE!</v>
      </c>
      <c r="GG9" t="e">
        <f>AND('2'!D70,"AAAAAHV7vLw=")</f>
        <v>#VALUE!</v>
      </c>
      <c r="GH9" t="e">
        <f>AND('2'!E70,"AAAAAHV7vL0=")</f>
        <v>#VALUE!</v>
      </c>
      <c r="GI9" t="e">
        <f>AND('2'!F70,"AAAAAHV7vL4=")</f>
        <v>#VALUE!</v>
      </c>
      <c r="GJ9" t="e">
        <f>AND('2'!G70,"AAAAAHV7vL8=")</f>
        <v>#VALUE!</v>
      </c>
      <c r="GK9" t="e">
        <f>AND('2'!H70,"AAAAAHV7vMA=")</f>
        <v>#VALUE!</v>
      </c>
      <c r="GL9" t="e">
        <f>AND('2'!I70,"AAAAAHV7vME=")</f>
        <v>#VALUE!</v>
      </c>
      <c r="GM9" t="e">
        <f>AND('2'!J70,"AAAAAHV7vMI=")</f>
        <v>#VALUE!</v>
      </c>
      <c r="GN9" t="e">
        <f>AND('2'!K70,"AAAAAHV7vMM=")</f>
        <v>#VALUE!</v>
      </c>
      <c r="GO9" t="e">
        <f>IF('2'!#REF!,"AAAAAHV7vMQ=",0)</f>
        <v>#REF!</v>
      </c>
      <c r="GP9" t="e">
        <f>AND('2'!#REF!,"AAAAAHV7vMU=")</f>
        <v>#REF!</v>
      </c>
      <c r="GQ9" t="e">
        <f>AND('2'!A72,"AAAAAHV7vMY=")</f>
        <v>#VALUE!</v>
      </c>
      <c r="GR9" t="e">
        <f>AND('2'!B72,"AAAAAHV7vMc=")</f>
        <v>#VALUE!</v>
      </c>
      <c r="GS9" t="e">
        <f>AND('2'!C72,"AAAAAHV7vMg=")</f>
        <v>#VALUE!</v>
      </c>
      <c r="GT9" t="e">
        <f>AND('2'!D72,"AAAAAHV7vMk=")</f>
        <v>#VALUE!</v>
      </c>
      <c r="GU9" t="e">
        <f>AND('2'!E72,"AAAAAHV7vMo=")</f>
        <v>#VALUE!</v>
      </c>
      <c r="GV9" t="e">
        <f>AND('2'!F72,"AAAAAHV7vMs=")</f>
        <v>#VALUE!</v>
      </c>
      <c r="GW9" t="e">
        <f>AND('2'!G72,"AAAAAHV7vMw=")</f>
        <v>#VALUE!</v>
      </c>
      <c r="GX9" t="e">
        <f>AND('2'!H72,"AAAAAHV7vM0=")</f>
        <v>#VALUE!</v>
      </c>
      <c r="GY9" t="e">
        <f>AND('2'!I72,"AAAAAHV7vM4=")</f>
        <v>#VALUE!</v>
      </c>
      <c r="GZ9" t="e">
        <f>AND('2'!J72,"AAAAAHV7vM8=")</f>
        <v>#VALUE!</v>
      </c>
      <c r="HA9" t="e">
        <f>AND('2'!#REF!,"AAAAAHV7vNA=")</f>
        <v>#REF!</v>
      </c>
      <c r="HB9">
        <f>IF('2'!72:72,"AAAAAHV7vNE=",0)</f>
        <v>0</v>
      </c>
      <c r="HC9" t="e">
        <f>AND('2'!#REF!,"AAAAAHV7vNI=")</f>
        <v>#REF!</v>
      </c>
      <c r="HD9" t="e">
        <f>AND('1 '!A40,"AAAAAHV7vNM=")</f>
        <v>#VALUE!</v>
      </c>
      <c r="HE9" t="e">
        <f>AND('2'!B73,"AAAAAHV7vNQ=")</f>
        <v>#VALUE!</v>
      </c>
      <c r="HF9" t="e">
        <f>AND('2'!C73,"AAAAAHV7vNU=")</f>
        <v>#VALUE!</v>
      </c>
      <c r="HG9" t="e">
        <f>AND('2'!D73,"AAAAAHV7vNY=")</f>
        <v>#VALUE!</v>
      </c>
      <c r="HH9" t="e">
        <f>AND('2'!E73,"AAAAAHV7vNc=")</f>
        <v>#VALUE!</v>
      </c>
      <c r="HI9" t="e">
        <f>AND('2'!F73,"AAAAAHV7vNg=")</f>
        <v>#VALUE!</v>
      </c>
      <c r="HJ9" t="e">
        <f>AND('2'!G73,"AAAAAHV7vNk=")</f>
        <v>#VALUE!</v>
      </c>
      <c r="HK9" t="e">
        <f>AND('2'!H73,"AAAAAHV7vNo=")</f>
        <v>#VALUE!</v>
      </c>
      <c r="HL9" t="e">
        <f>AND('2'!I73,"AAAAAHV7vNs=")</f>
        <v>#VALUE!</v>
      </c>
      <c r="HM9" t="e">
        <f>AND('2'!J73,"AAAAAHV7vNw=")</f>
        <v>#VALUE!</v>
      </c>
      <c r="HN9" t="e">
        <f>AND('2'!K72,"AAAAAHV7vN0=")</f>
        <v>#VALUE!</v>
      </c>
      <c r="HO9">
        <f>IF('2'!73:73,"AAAAAHV7vN4=",0)</f>
        <v>0</v>
      </c>
      <c r="HP9" t="e">
        <f>AND('2'!#REF!,"AAAAAHV7vN8=")</f>
        <v>#REF!</v>
      </c>
      <c r="HQ9" t="e">
        <f>AND('1 '!A42,"AAAAAHV7vOA=")</f>
        <v>#VALUE!</v>
      </c>
      <c r="HR9" t="e">
        <f>AND('2'!B74,"AAAAAHV7vOE=")</f>
        <v>#VALUE!</v>
      </c>
      <c r="HS9" t="e">
        <f>AND('2'!C74,"AAAAAHV7vOI=")</f>
        <v>#VALUE!</v>
      </c>
      <c r="HT9" t="e">
        <f>AND('2'!D74,"AAAAAHV7vOM=")</f>
        <v>#VALUE!</v>
      </c>
      <c r="HU9" t="e">
        <f>AND('2'!E74,"AAAAAHV7vOQ=")</f>
        <v>#VALUE!</v>
      </c>
      <c r="HV9" t="e">
        <f>AND('2'!F74,"AAAAAHV7vOU=")</f>
        <v>#VALUE!</v>
      </c>
      <c r="HW9" t="e">
        <f>AND('2'!G74,"AAAAAHV7vOY=")</f>
        <v>#VALUE!</v>
      </c>
      <c r="HX9" t="e">
        <f>AND('2'!H74,"AAAAAHV7vOc=")</f>
        <v>#VALUE!</v>
      </c>
      <c r="HY9" t="e">
        <f>AND('2'!I74,"AAAAAHV7vOg=")</f>
        <v>#VALUE!</v>
      </c>
      <c r="HZ9" t="e">
        <f>AND('2'!J74,"AAAAAHV7vOk=")</f>
        <v>#VALUE!</v>
      </c>
      <c r="IA9" t="e">
        <f>AND('2'!K73,"AAAAAHV7vOo=")</f>
        <v>#VALUE!</v>
      </c>
      <c r="IB9">
        <f>IF('2'!74:74,"AAAAAHV7vOs=",0)</f>
        <v>0</v>
      </c>
      <c r="IC9">
        <f>IF('2'!75:75,"AAAAAHV7vOw=",0)</f>
        <v>0</v>
      </c>
      <c r="ID9">
        <f>IF('2'!76:76,"AAAAAHV7vO0=",0)</f>
        <v>0</v>
      </c>
      <c r="IE9">
        <f>IF('2'!77:77,"AAAAAHV7vO4=",0)</f>
        <v>0</v>
      </c>
      <c r="IF9">
        <f>IF('2'!78:78,"AAAAAHV7vO8=",0)</f>
        <v>0</v>
      </c>
      <c r="IG9">
        <f>IF('2'!79:79,"AAAAAHV7vPA=",0)</f>
        <v>0</v>
      </c>
      <c r="IH9">
        <f>IF('2'!80:80,"AAAAAHV7vPE=",0)</f>
        <v>0</v>
      </c>
      <c r="II9">
        <f>IF('2'!81:81,"AAAAAHV7vPI=",0)</f>
        <v>0</v>
      </c>
      <c r="IJ9" t="e">
        <f>IF('2'!#REF!,"AAAAAHV7vPM=",0)</f>
        <v>#REF!</v>
      </c>
      <c r="IK9">
        <f>IF('2'!A:A,"AAAAAHV7vPQ=",0)</f>
        <v>0</v>
      </c>
      <c r="IL9">
        <f>IF('2'!B:B,"AAAAAHV7vPU=",0)</f>
        <v>0</v>
      </c>
      <c r="IM9" t="e">
        <f>IF('2'!C:C,"AAAAAHV7vPY=",0)</f>
        <v>#VALUE!</v>
      </c>
      <c r="IN9" t="e">
        <f>IF('2'!D:D,"AAAAAHV7vPc=",0)</f>
        <v>#VALUE!</v>
      </c>
      <c r="IO9" t="e">
        <f>IF('2'!E:E,"AAAAAHV7vPg=",0)</f>
        <v>#VALUE!</v>
      </c>
      <c r="IP9" t="e">
        <f>IF('2'!F:F,"AAAAAHV7vPk=",0)</f>
        <v>#VALUE!</v>
      </c>
      <c r="IQ9" t="e">
        <f>IF('2'!G:G,"AAAAAHV7vPo=",0)</f>
        <v>#VALUE!</v>
      </c>
      <c r="IR9" t="e">
        <f>IF('2'!H:H,"AAAAAHV7vPs=",0)</f>
        <v>#VALUE!</v>
      </c>
      <c r="IS9" t="e">
        <f>IF('2'!I:I,"AAAAAHV7vPw=",0)</f>
        <v>#VALUE!</v>
      </c>
      <c r="IT9" t="e">
        <f>IF('2'!J:J,"AAAAAHV7vP0=",0)</f>
        <v>#VALUE!</v>
      </c>
      <c r="IU9">
        <f>IF('2'!K:K,"AAAAAHV7vP4=",0)</f>
        <v>0</v>
      </c>
      <c r="IV9" t="e">
        <f>IF(#REF!,"AAAAAHV7vP8=",0)</f>
        <v>#REF!</v>
      </c>
    </row>
    <row r="10" spans="1:256" x14ac:dyDescent="0.25">
      <c r="A10" t="e">
        <f>AND(#REF!,"AAAAAH9HzgA=")</f>
        <v>#REF!</v>
      </c>
      <c r="B10" t="e">
        <f>AND(#REF!,"AAAAAH9HzgE=")</f>
        <v>#REF!</v>
      </c>
      <c r="C10" t="e">
        <f>AND(#REF!,"AAAAAH9HzgI=")</f>
        <v>#REF!</v>
      </c>
      <c r="D10" t="e">
        <f>AND(#REF!,"AAAAAH9HzgM=")</f>
        <v>#REF!</v>
      </c>
      <c r="E10" t="e">
        <f>AND(#REF!,"AAAAAH9HzgQ=")</f>
        <v>#REF!</v>
      </c>
      <c r="F10" t="e">
        <f>AND(#REF!,"AAAAAH9HzgU=")</f>
        <v>#REF!</v>
      </c>
      <c r="G10" t="e">
        <f>AND(#REF!,"AAAAAH9HzgY=")</f>
        <v>#REF!</v>
      </c>
      <c r="H10" t="e">
        <f>AND(#REF!,"AAAAAH9Hzgc=")</f>
        <v>#REF!</v>
      </c>
      <c r="I10" t="e">
        <f>AND(#REF!,"AAAAAH9Hzgg=")</f>
        <v>#REF!</v>
      </c>
      <c r="J10" t="e">
        <f>AND(#REF!,"AAAAAH9Hzgk=")</f>
        <v>#REF!</v>
      </c>
      <c r="K10" t="e">
        <f>AND(#REF!,"AAAAAH9Hzgo=")</f>
        <v>#REF!</v>
      </c>
      <c r="L10" t="e">
        <f>AND(#REF!,"AAAAAH9Hzgs=")</f>
        <v>#REF!</v>
      </c>
      <c r="M10" t="e">
        <f>IF(#REF!,"AAAAAH9Hzgw=",0)</f>
        <v>#REF!</v>
      </c>
      <c r="N10" t="e">
        <f>AND(#REF!,"AAAAAH9Hzg0=")</f>
        <v>#REF!</v>
      </c>
      <c r="O10" t="e">
        <f>AND(#REF!,"AAAAAH9Hzg4=")</f>
        <v>#REF!</v>
      </c>
      <c r="P10" t="e">
        <f>AND(#REF!,"AAAAAH9Hzg8=")</f>
        <v>#REF!</v>
      </c>
      <c r="Q10" t="e">
        <f>AND(#REF!,"AAAAAH9HzhA=")</f>
        <v>#REF!</v>
      </c>
      <c r="R10" t="e">
        <f>AND(#REF!,"AAAAAH9HzhE=")</f>
        <v>#REF!</v>
      </c>
      <c r="S10" t="e">
        <f>AND(#REF!,"AAAAAH9HzhI=")</f>
        <v>#REF!</v>
      </c>
      <c r="T10" t="e">
        <f>AND(#REF!,"AAAAAH9HzhM=")</f>
        <v>#REF!</v>
      </c>
      <c r="U10" t="e">
        <f>AND(#REF!,"AAAAAH9HzhQ=")</f>
        <v>#REF!</v>
      </c>
      <c r="V10" t="e">
        <f>AND(#REF!,"AAAAAH9HzhU=")</f>
        <v>#REF!</v>
      </c>
      <c r="W10" t="e">
        <f>AND(#REF!,"AAAAAH9HzhY=")</f>
        <v>#REF!</v>
      </c>
      <c r="X10" t="e">
        <f>AND(#REF!,"AAAAAH9Hzhc=")</f>
        <v>#REF!</v>
      </c>
      <c r="Y10" t="e">
        <f>AND(#REF!,"AAAAAH9Hzhg=")</f>
        <v>#REF!</v>
      </c>
      <c r="Z10" t="e">
        <f>IF(#REF!,"AAAAAH9Hzhk=",0)</f>
        <v>#REF!</v>
      </c>
      <c r="AA10" t="e">
        <f>AND(#REF!,"AAAAAH9Hzho=")</f>
        <v>#REF!</v>
      </c>
      <c r="AB10" t="e">
        <f>AND(#REF!,"AAAAAH9Hzhs=")</f>
        <v>#REF!</v>
      </c>
      <c r="AC10" t="e">
        <f>AND(#REF!,"AAAAAH9Hzhw=")</f>
        <v>#REF!</v>
      </c>
      <c r="AD10" t="e">
        <f>AND(#REF!,"AAAAAH9Hzh0=")</f>
        <v>#REF!</v>
      </c>
      <c r="AE10" t="e">
        <f>AND(#REF!,"AAAAAH9Hzh4=")</f>
        <v>#REF!</v>
      </c>
      <c r="AF10" t="e">
        <f>AND(#REF!,"AAAAAH9Hzh8=")</f>
        <v>#REF!</v>
      </c>
      <c r="AG10" t="e">
        <f>AND(#REF!,"AAAAAH9HziA=")</f>
        <v>#REF!</v>
      </c>
      <c r="AH10" t="e">
        <f>AND(#REF!,"AAAAAH9HziE=")</f>
        <v>#REF!</v>
      </c>
      <c r="AI10" t="e">
        <f>AND(#REF!,"AAAAAH9HziI=")</f>
        <v>#REF!</v>
      </c>
      <c r="AJ10" t="e">
        <f>AND(#REF!,"AAAAAH9HziM=")</f>
        <v>#REF!</v>
      </c>
      <c r="AK10" t="e">
        <f>AND(#REF!,"AAAAAH9HziQ=")</f>
        <v>#REF!</v>
      </c>
      <c r="AL10" t="e">
        <f>AND(#REF!,"AAAAAH9HziU=")</f>
        <v>#REF!</v>
      </c>
      <c r="AM10" t="e">
        <f>IF(#REF!,"AAAAAH9HziY=",0)</f>
        <v>#REF!</v>
      </c>
      <c r="AN10" t="e">
        <f>AND(#REF!,"AAAAAH9Hzic=")</f>
        <v>#REF!</v>
      </c>
      <c r="AO10" t="e">
        <f>AND(#REF!,"AAAAAH9Hzig=")</f>
        <v>#REF!</v>
      </c>
      <c r="AP10" t="e">
        <f>AND(#REF!,"AAAAAH9Hzik=")</f>
        <v>#REF!</v>
      </c>
      <c r="AQ10" t="e">
        <f>AND(#REF!,"AAAAAH9Hzio=")</f>
        <v>#REF!</v>
      </c>
      <c r="AR10" t="e">
        <f>AND(#REF!,"AAAAAH9Hzis=")</f>
        <v>#REF!</v>
      </c>
      <c r="AS10" t="e">
        <f>AND(#REF!,"AAAAAH9Hziw=")</f>
        <v>#REF!</v>
      </c>
      <c r="AT10" t="e">
        <f>AND(#REF!,"AAAAAH9Hzi0=")</f>
        <v>#REF!</v>
      </c>
      <c r="AU10" t="e">
        <f>AND(#REF!,"AAAAAH9Hzi4=")</f>
        <v>#REF!</v>
      </c>
      <c r="AV10" t="e">
        <f>AND(#REF!,"AAAAAH9Hzi8=")</f>
        <v>#REF!</v>
      </c>
      <c r="AW10" t="e">
        <f>AND(#REF!,"AAAAAH9HzjA=")</f>
        <v>#REF!</v>
      </c>
      <c r="AX10" t="e">
        <f>AND(#REF!,"AAAAAH9HzjE=")</f>
        <v>#REF!</v>
      </c>
      <c r="AY10" t="e">
        <f>AND(#REF!,"AAAAAH9HzjI=")</f>
        <v>#REF!</v>
      </c>
      <c r="AZ10" t="e">
        <f>IF(#REF!,"AAAAAH9HzjM=",0)</f>
        <v>#REF!</v>
      </c>
      <c r="BA10" t="e">
        <f>AND(#REF!,"AAAAAH9HzjQ=")</f>
        <v>#REF!</v>
      </c>
      <c r="BB10" t="e">
        <f>AND(#REF!,"AAAAAH9HzjU=")</f>
        <v>#REF!</v>
      </c>
      <c r="BC10" t="e">
        <f>AND(#REF!,"AAAAAH9HzjY=")</f>
        <v>#REF!</v>
      </c>
      <c r="BD10" t="e">
        <f>AND(#REF!,"AAAAAH9Hzjc=")</f>
        <v>#REF!</v>
      </c>
      <c r="BE10" t="e">
        <f>AND(#REF!,"AAAAAH9Hzjg=")</f>
        <v>#REF!</v>
      </c>
      <c r="BF10" t="e">
        <f>AND(#REF!,"AAAAAH9Hzjk=")</f>
        <v>#REF!</v>
      </c>
      <c r="BG10" t="e">
        <f>AND(#REF!,"AAAAAH9Hzjo=")</f>
        <v>#REF!</v>
      </c>
      <c r="BH10" t="e">
        <f>AND(#REF!,"AAAAAH9Hzjs=")</f>
        <v>#REF!</v>
      </c>
      <c r="BI10" t="e">
        <f>AND(#REF!,"AAAAAH9Hzjw=")</f>
        <v>#REF!</v>
      </c>
      <c r="BJ10" t="e">
        <f>AND(#REF!,"AAAAAH9Hzj0=")</f>
        <v>#REF!</v>
      </c>
      <c r="BK10" t="e">
        <f>AND(#REF!,"AAAAAH9Hzj4=")</f>
        <v>#REF!</v>
      </c>
      <c r="BL10" t="e">
        <f>AND(#REF!,"AAAAAH9Hzj8=")</f>
        <v>#REF!</v>
      </c>
      <c r="BM10" t="e">
        <f>IF(#REF!,"AAAAAH9HzkA=",0)</f>
        <v>#REF!</v>
      </c>
      <c r="BN10" t="e">
        <f>AND(#REF!,"AAAAAH9HzkE=")</f>
        <v>#REF!</v>
      </c>
      <c r="BO10" t="e">
        <f>AND(#REF!,"AAAAAH9HzkI=")</f>
        <v>#REF!</v>
      </c>
      <c r="BP10" t="e">
        <f>AND(#REF!,"AAAAAH9HzkM=")</f>
        <v>#REF!</v>
      </c>
      <c r="BQ10" t="e">
        <f>AND(#REF!,"AAAAAH9HzkQ=")</f>
        <v>#REF!</v>
      </c>
      <c r="BR10" t="e">
        <f>AND(#REF!,"AAAAAH9HzkU=")</f>
        <v>#REF!</v>
      </c>
      <c r="BS10" t="e">
        <f>AND(#REF!,"AAAAAH9HzkY=")</f>
        <v>#REF!</v>
      </c>
      <c r="BT10" t="e">
        <f>AND(#REF!,"AAAAAH9Hzkc=")</f>
        <v>#REF!</v>
      </c>
      <c r="BU10" t="e">
        <f>AND(#REF!,"AAAAAH9Hzkg=")</f>
        <v>#REF!</v>
      </c>
      <c r="BV10" t="e">
        <f>AND(#REF!,"AAAAAH9Hzkk=")</f>
        <v>#REF!</v>
      </c>
      <c r="BW10" t="e">
        <f>AND(#REF!,"AAAAAH9Hzko=")</f>
        <v>#REF!</v>
      </c>
      <c r="BX10" t="e">
        <f>AND(#REF!,"AAAAAH9Hzks=")</f>
        <v>#REF!</v>
      </c>
      <c r="BY10" t="e">
        <f>AND(#REF!,"AAAAAH9Hzkw=")</f>
        <v>#REF!</v>
      </c>
      <c r="BZ10" t="e">
        <f>IF(#REF!,"AAAAAH9Hzk0=",0)</f>
        <v>#REF!</v>
      </c>
      <c r="CA10" t="e">
        <f>AND(#REF!,"AAAAAH9Hzk4=")</f>
        <v>#REF!</v>
      </c>
      <c r="CB10" t="e">
        <f>AND(#REF!,"AAAAAH9Hzk8=")</f>
        <v>#REF!</v>
      </c>
      <c r="CC10" t="e">
        <f>AND(#REF!,"AAAAAH9HzlA=")</f>
        <v>#REF!</v>
      </c>
      <c r="CD10" t="e">
        <f>AND(#REF!,"AAAAAH9HzlE=")</f>
        <v>#REF!</v>
      </c>
      <c r="CE10" t="e">
        <f>AND(#REF!,"AAAAAH9HzlI=")</f>
        <v>#REF!</v>
      </c>
      <c r="CF10" t="e">
        <f>AND(#REF!,"AAAAAH9HzlM=")</f>
        <v>#REF!</v>
      </c>
      <c r="CG10" t="e">
        <f>AND(#REF!,"AAAAAH9HzlQ=")</f>
        <v>#REF!</v>
      </c>
      <c r="CH10" t="e">
        <f>AND(#REF!,"AAAAAH9HzlU=")</f>
        <v>#REF!</v>
      </c>
      <c r="CI10" t="e">
        <f>AND(#REF!,"AAAAAH9HzlY=")</f>
        <v>#REF!</v>
      </c>
      <c r="CJ10" t="e">
        <f>AND(#REF!,"AAAAAH9Hzlc=")</f>
        <v>#REF!</v>
      </c>
      <c r="CK10" t="e">
        <f>AND(#REF!,"AAAAAH9Hzlg=")</f>
        <v>#REF!</v>
      </c>
      <c r="CL10" t="e">
        <f>AND(#REF!,"AAAAAH9Hzlk=")</f>
        <v>#REF!</v>
      </c>
      <c r="CM10" t="e">
        <f>IF(#REF!,"AAAAAH9Hzlo=",0)</f>
        <v>#REF!</v>
      </c>
      <c r="CN10" t="e">
        <f>AND(#REF!,"AAAAAH9Hzls=")</f>
        <v>#REF!</v>
      </c>
      <c r="CO10" t="e">
        <f>AND(#REF!,"AAAAAH9Hzlw=")</f>
        <v>#REF!</v>
      </c>
      <c r="CP10" t="e">
        <f>AND(#REF!,"AAAAAH9Hzl0=")</f>
        <v>#REF!</v>
      </c>
      <c r="CQ10" t="e">
        <f>AND(#REF!,"AAAAAH9Hzl4=")</f>
        <v>#REF!</v>
      </c>
      <c r="CR10" t="e">
        <f>AND(#REF!,"AAAAAH9Hzl8=")</f>
        <v>#REF!</v>
      </c>
      <c r="CS10" t="e">
        <f>AND(#REF!,"AAAAAH9HzmA=")</f>
        <v>#REF!</v>
      </c>
      <c r="CT10" t="e">
        <f>AND(#REF!,"AAAAAH9HzmE=")</f>
        <v>#REF!</v>
      </c>
      <c r="CU10" t="e">
        <f>AND(#REF!,"AAAAAH9HzmI=")</f>
        <v>#REF!</v>
      </c>
      <c r="CV10" t="e">
        <f>AND(#REF!,"AAAAAH9HzmM=")</f>
        <v>#REF!</v>
      </c>
      <c r="CW10" t="e">
        <f>AND(#REF!,"AAAAAH9HzmQ=")</f>
        <v>#REF!</v>
      </c>
      <c r="CX10" t="e">
        <f>AND(#REF!,"AAAAAH9HzmU=")</f>
        <v>#REF!</v>
      </c>
      <c r="CY10" t="e">
        <f>AND(#REF!,"AAAAAH9HzmY=")</f>
        <v>#REF!</v>
      </c>
      <c r="CZ10" t="e">
        <f>IF(#REF!,"AAAAAH9Hzmc=",0)</f>
        <v>#REF!</v>
      </c>
      <c r="DA10" t="e">
        <f>AND(#REF!,"AAAAAH9Hzmg=")</f>
        <v>#REF!</v>
      </c>
      <c r="DB10" t="e">
        <f>AND(#REF!,"AAAAAH9Hzmk=")</f>
        <v>#REF!</v>
      </c>
      <c r="DC10" t="e">
        <f>AND(#REF!,"AAAAAH9Hzmo=")</f>
        <v>#REF!</v>
      </c>
      <c r="DD10" t="e">
        <f>AND(#REF!,"AAAAAH9Hzms=")</f>
        <v>#REF!</v>
      </c>
      <c r="DE10" t="e">
        <f>AND(#REF!,"AAAAAH9Hzmw=")</f>
        <v>#REF!</v>
      </c>
      <c r="DF10" t="e">
        <f>AND(#REF!,"AAAAAH9Hzm0=")</f>
        <v>#REF!</v>
      </c>
      <c r="DG10" t="e">
        <f>AND(#REF!,"AAAAAH9Hzm4=")</f>
        <v>#REF!</v>
      </c>
      <c r="DH10" t="e">
        <f>AND(#REF!,"AAAAAH9Hzm8=")</f>
        <v>#REF!</v>
      </c>
      <c r="DI10" t="e">
        <f>AND(#REF!,"AAAAAH9HznA=")</f>
        <v>#REF!</v>
      </c>
      <c r="DJ10" t="e">
        <f>AND(#REF!,"AAAAAH9HznE=")</f>
        <v>#REF!</v>
      </c>
      <c r="DK10" t="e">
        <f>AND(#REF!,"AAAAAH9HznI=")</f>
        <v>#REF!</v>
      </c>
      <c r="DL10" t="e">
        <f>AND(#REF!,"AAAAAH9HznM=")</f>
        <v>#REF!</v>
      </c>
      <c r="DM10" t="e">
        <f>IF(#REF!,"AAAAAH9HznQ=",0)</f>
        <v>#REF!</v>
      </c>
      <c r="DN10" t="e">
        <f>AND(#REF!,"AAAAAH9HznU=")</f>
        <v>#REF!</v>
      </c>
      <c r="DO10" t="e">
        <f>AND(#REF!,"AAAAAH9HznY=")</f>
        <v>#REF!</v>
      </c>
      <c r="DP10" t="e">
        <f>AND(#REF!,"AAAAAH9Hznc=")</f>
        <v>#REF!</v>
      </c>
      <c r="DQ10" t="e">
        <f>AND(#REF!,"AAAAAH9Hzng=")</f>
        <v>#REF!</v>
      </c>
      <c r="DR10" t="e">
        <f>AND(#REF!,"AAAAAH9Hznk=")</f>
        <v>#REF!</v>
      </c>
      <c r="DS10" t="e">
        <f>AND(#REF!,"AAAAAH9Hzno=")</f>
        <v>#REF!</v>
      </c>
      <c r="DT10" t="e">
        <f>AND(#REF!,"AAAAAH9Hzns=")</f>
        <v>#REF!</v>
      </c>
      <c r="DU10" t="e">
        <f>AND(#REF!,"AAAAAH9Hznw=")</f>
        <v>#REF!</v>
      </c>
      <c r="DV10" t="e">
        <f>AND(#REF!,"AAAAAH9Hzn0=")</f>
        <v>#REF!</v>
      </c>
      <c r="DW10" t="e">
        <f>AND(#REF!,"AAAAAH9Hzn4=")</f>
        <v>#REF!</v>
      </c>
      <c r="DX10" t="e">
        <f>AND(#REF!,"AAAAAH9Hzn8=")</f>
        <v>#REF!</v>
      </c>
      <c r="DY10" t="e">
        <f>AND(#REF!,"AAAAAH9HzoA=")</f>
        <v>#REF!</v>
      </c>
      <c r="DZ10" t="e">
        <f>IF(#REF!,"AAAAAH9HzoE=",0)</f>
        <v>#REF!</v>
      </c>
      <c r="EA10" t="e">
        <f>AND(#REF!,"AAAAAH9HzoI=")</f>
        <v>#REF!</v>
      </c>
      <c r="EB10" t="e">
        <f>AND(#REF!,"AAAAAH9HzoM=")</f>
        <v>#REF!</v>
      </c>
      <c r="EC10" t="e">
        <f>AND(#REF!,"AAAAAH9HzoQ=")</f>
        <v>#REF!</v>
      </c>
      <c r="ED10" t="e">
        <f>AND(#REF!,"AAAAAH9HzoU=")</f>
        <v>#REF!</v>
      </c>
      <c r="EE10" t="e">
        <f>AND(#REF!,"AAAAAH9HzoY=")</f>
        <v>#REF!</v>
      </c>
      <c r="EF10" t="e">
        <f>AND(#REF!,"AAAAAH9Hzoc=")</f>
        <v>#REF!</v>
      </c>
      <c r="EG10" t="e">
        <f>AND(#REF!,"AAAAAH9Hzog=")</f>
        <v>#REF!</v>
      </c>
      <c r="EH10" t="e">
        <f>AND(#REF!,"AAAAAH9Hzok=")</f>
        <v>#REF!</v>
      </c>
      <c r="EI10" t="e">
        <f>AND(#REF!,"AAAAAH9Hzoo=")</f>
        <v>#REF!</v>
      </c>
      <c r="EJ10" t="e">
        <f>AND(#REF!,"AAAAAH9Hzos=")</f>
        <v>#REF!</v>
      </c>
      <c r="EK10" t="e">
        <f>AND(#REF!,"AAAAAH9Hzow=")</f>
        <v>#REF!</v>
      </c>
      <c r="EL10" t="e">
        <f>AND(#REF!,"AAAAAH9Hzo0=")</f>
        <v>#REF!</v>
      </c>
      <c r="EM10" t="e">
        <f>IF(#REF!,"AAAAAH9Hzo4=",0)</f>
        <v>#REF!</v>
      </c>
      <c r="EN10" t="e">
        <f>AND(#REF!,"AAAAAH9Hzo8=")</f>
        <v>#REF!</v>
      </c>
      <c r="EO10" t="e">
        <f>AND(#REF!,"AAAAAH9HzpA=")</f>
        <v>#REF!</v>
      </c>
      <c r="EP10" t="e">
        <f>AND(#REF!,"AAAAAH9HzpE=")</f>
        <v>#REF!</v>
      </c>
      <c r="EQ10" t="e">
        <f>AND(#REF!,"AAAAAH9HzpI=")</f>
        <v>#REF!</v>
      </c>
      <c r="ER10" t="e">
        <f>AND(#REF!,"AAAAAH9HzpM=")</f>
        <v>#REF!</v>
      </c>
      <c r="ES10" t="e">
        <f>AND(#REF!,"AAAAAH9HzpQ=")</f>
        <v>#REF!</v>
      </c>
      <c r="ET10" t="e">
        <f>AND(#REF!,"AAAAAH9HzpU=")</f>
        <v>#REF!</v>
      </c>
      <c r="EU10" t="e">
        <f>AND(#REF!,"AAAAAH9HzpY=")</f>
        <v>#REF!</v>
      </c>
      <c r="EV10" t="e">
        <f>AND(#REF!,"AAAAAH9Hzpc=")</f>
        <v>#REF!</v>
      </c>
      <c r="EW10" t="e">
        <f>AND(#REF!,"AAAAAH9Hzpg=")</f>
        <v>#REF!</v>
      </c>
      <c r="EX10" t="e">
        <f>AND(#REF!,"AAAAAH9Hzpk=")</f>
        <v>#REF!</v>
      </c>
      <c r="EY10" t="e">
        <f>AND(#REF!,"AAAAAH9Hzpo=")</f>
        <v>#REF!</v>
      </c>
      <c r="EZ10" t="e">
        <f>IF(#REF!,"AAAAAH9Hzps=",0)</f>
        <v>#REF!</v>
      </c>
      <c r="FA10" t="e">
        <f>AND(#REF!,"AAAAAH9Hzpw=")</f>
        <v>#REF!</v>
      </c>
      <c r="FB10" t="e">
        <f>AND(#REF!,"AAAAAH9Hzp0=")</f>
        <v>#REF!</v>
      </c>
      <c r="FC10" t="e">
        <f>AND(#REF!,"AAAAAH9Hzp4=")</f>
        <v>#REF!</v>
      </c>
      <c r="FD10" t="e">
        <f>AND(#REF!,"AAAAAH9Hzp8=")</f>
        <v>#REF!</v>
      </c>
      <c r="FE10" t="e">
        <f>AND(#REF!,"AAAAAH9HzqA=")</f>
        <v>#REF!</v>
      </c>
      <c r="FF10" t="e">
        <f>AND(#REF!,"AAAAAH9HzqE=")</f>
        <v>#REF!</v>
      </c>
      <c r="FG10" t="e">
        <f>AND(#REF!,"AAAAAH9HzqI=")</f>
        <v>#REF!</v>
      </c>
      <c r="FH10" t="e">
        <f>AND(#REF!,"AAAAAH9HzqM=")</f>
        <v>#REF!</v>
      </c>
      <c r="FI10" t="e">
        <f>AND(#REF!,"AAAAAH9HzqQ=")</f>
        <v>#REF!</v>
      </c>
      <c r="FJ10" t="e">
        <f>AND(#REF!,"AAAAAH9HzqU=")</f>
        <v>#REF!</v>
      </c>
      <c r="FK10" t="e">
        <f>AND(#REF!,"AAAAAH9HzqY=")</f>
        <v>#REF!</v>
      </c>
      <c r="FL10" t="e">
        <f>AND(#REF!,"AAAAAH9Hzqc=")</f>
        <v>#REF!</v>
      </c>
      <c r="FM10" t="e">
        <f>IF(#REF!,"AAAAAH9Hzqg=",0)</f>
        <v>#REF!</v>
      </c>
      <c r="FN10" t="e">
        <f>AND(#REF!,"AAAAAH9Hzqk=")</f>
        <v>#REF!</v>
      </c>
      <c r="FO10" t="e">
        <f>AND(#REF!,"AAAAAH9Hzqo=")</f>
        <v>#REF!</v>
      </c>
      <c r="FP10" t="e">
        <f>AND(#REF!,"AAAAAH9Hzqs=")</f>
        <v>#REF!</v>
      </c>
      <c r="FQ10" t="e">
        <f>AND(#REF!,"AAAAAH9Hzqw=")</f>
        <v>#REF!</v>
      </c>
      <c r="FR10" t="e">
        <f>AND(#REF!,"AAAAAH9Hzq0=")</f>
        <v>#REF!</v>
      </c>
      <c r="FS10" t="e">
        <f>AND(#REF!,"AAAAAH9Hzq4=")</f>
        <v>#REF!</v>
      </c>
      <c r="FT10" t="e">
        <f>AND(#REF!,"AAAAAH9Hzq8=")</f>
        <v>#REF!</v>
      </c>
      <c r="FU10" t="e">
        <f>AND(#REF!,"AAAAAH9HzrA=")</f>
        <v>#REF!</v>
      </c>
      <c r="FV10" t="e">
        <f>AND(#REF!,"AAAAAH9HzrE=")</f>
        <v>#REF!</v>
      </c>
      <c r="FW10" t="e">
        <f>AND(#REF!,"AAAAAH9HzrI=")</f>
        <v>#REF!</v>
      </c>
      <c r="FX10" t="e">
        <f>AND(#REF!,"AAAAAH9HzrM=")</f>
        <v>#REF!</v>
      </c>
      <c r="FY10" t="e">
        <f>AND(#REF!,"AAAAAH9HzrQ=")</f>
        <v>#REF!</v>
      </c>
      <c r="FZ10" t="e">
        <f>IF(#REF!,"AAAAAH9HzrU=",0)</f>
        <v>#REF!</v>
      </c>
      <c r="GA10" t="e">
        <f>AND(#REF!,"AAAAAH9HzrY=")</f>
        <v>#REF!</v>
      </c>
      <c r="GB10" t="e">
        <f>AND(#REF!,"AAAAAH9Hzrc=")</f>
        <v>#REF!</v>
      </c>
      <c r="GC10" t="e">
        <f>AND(#REF!,"AAAAAH9Hzrg=")</f>
        <v>#REF!</v>
      </c>
      <c r="GD10" t="e">
        <f>AND(#REF!,"AAAAAH9Hzrk=")</f>
        <v>#REF!</v>
      </c>
      <c r="GE10" t="e">
        <f>AND(#REF!,"AAAAAH9Hzro=")</f>
        <v>#REF!</v>
      </c>
      <c r="GF10" t="e">
        <f>AND(#REF!,"AAAAAH9Hzrs=")</f>
        <v>#REF!</v>
      </c>
      <c r="GG10" t="e">
        <f>AND(#REF!,"AAAAAH9Hzrw=")</f>
        <v>#REF!</v>
      </c>
      <c r="GH10" t="e">
        <f>AND(#REF!,"AAAAAH9Hzr0=")</f>
        <v>#REF!</v>
      </c>
      <c r="GI10" t="e">
        <f>AND(#REF!,"AAAAAH9Hzr4=")</f>
        <v>#REF!</v>
      </c>
      <c r="GJ10" t="e">
        <f>AND(#REF!,"AAAAAH9Hzr8=")</f>
        <v>#REF!</v>
      </c>
      <c r="GK10" t="e">
        <f>AND(#REF!,"AAAAAH9HzsA=")</f>
        <v>#REF!</v>
      </c>
      <c r="GL10" t="e">
        <f>AND(#REF!,"AAAAAH9HzsE=")</f>
        <v>#REF!</v>
      </c>
      <c r="GM10" t="e">
        <f>IF(#REF!,"AAAAAH9HzsI=",0)</f>
        <v>#REF!</v>
      </c>
      <c r="GN10" t="e">
        <f>AND(#REF!,"AAAAAH9HzsM=")</f>
        <v>#REF!</v>
      </c>
      <c r="GO10" t="e">
        <f>AND(#REF!,"AAAAAH9HzsQ=")</f>
        <v>#REF!</v>
      </c>
      <c r="GP10" t="e">
        <f>AND(#REF!,"AAAAAH9HzsU=")</f>
        <v>#REF!</v>
      </c>
      <c r="GQ10" t="e">
        <f>AND(#REF!,"AAAAAH9HzsY=")</f>
        <v>#REF!</v>
      </c>
      <c r="GR10" t="e">
        <f>AND(#REF!,"AAAAAH9Hzsc=")</f>
        <v>#REF!</v>
      </c>
      <c r="GS10" t="e">
        <f>AND(#REF!,"AAAAAH9Hzsg=")</f>
        <v>#REF!</v>
      </c>
      <c r="GT10" t="e">
        <f>AND(#REF!,"AAAAAH9Hzsk=")</f>
        <v>#REF!</v>
      </c>
      <c r="GU10" t="e">
        <f>AND(#REF!,"AAAAAH9Hzso=")</f>
        <v>#REF!</v>
      </c>
      <c r="GV10" t="e">
        <f>AND(#REF!,"AAAAAH9Hzss=")</f>
        <v>#REF!</v>
      </c>
      <c r="GW10" t="e">
        <f>AND(#REF!,"AAAAAH9Hzsw=")</f>
        <v>#REF!</v>
      </c>
      <c r="GX10" t="e">
        <f>AND(#REF!,"AAAAAH9Hzs0=")</f>
        <v>#REF!</v>
      </c>
      <c r="GY10" t="e">
        <f>AND(#REF!,"AAAAAH9Hzs4=")</f>
        <v>#REF!</v>
      </c>
      <c r="GZ10" t="e">
        <f>IF(#REF!,"AAAAAH9Hzs8=",0)</f>
        <v>#REF!</v>
      </c>
      <c r="HA10" t="e">
        <f>AND(#REF!,"AAAAAH9HztA=")</f>
        <v>#REF!</v>
      </c>
      <c r="HB10" t="e">
        <f>AND(#REF!,"AAAAAH9HztE=")</f>
        <v>#REF!</v>
      </c>
      <c r="HC10" t="e">
        <f>AND(#REF!,"AAAAAH9HztI=")</f>
        <v>#REF!</v>
      </c>
      <c r="HD10" t="e">
        <f>AND(#REF!,"AAAAAH9HztM=")</f>
        <v>#REF!</v>
      </c>
      <c r="HE10" t="e">
        <f>AND(#REF!,"AAAAAH9HztQ=")</f>
        <v>#REF!</v>
      </c>
      <c r="HF10" t="e">
        <f>AND(#REF!,"AAAAAH9HztU=")</f>
        <v>#REF!</v>
      </c>
      <c r="HG10" t="e">
        <f>AND(#REF!,"AAAAAH9HztY=")</f>
        <v>#REF!</v>
      </c>
      <c r="HH10" t="e">
        <f>AND(#REF!,"AAAAAH9Hztc=")</f>
        <v>#REF!</v>
      </c>
      <c r="HI10" t="e">
        <f>AND(#REF!,"AAAAAH9Hztg=")</f>
        <v>#REF!</v>
      </c>
      <c r="HJ10" t="e">
        <f>AND(#REF!,"AAAAAH9Hztk=")</f>
        <v>#REF!</v>
      </c>
      <c r="HK10" t="e">
        <f>AND(#REF!,"AAAAAH9Hzto=")</f>
        <v>#REF!</v>
      </c>
      <c r="HL10" t="e">
        <f>AND(#REF!,"AAAAAH9Hzts=")</f>
        <v>#REF!</v>
      </c>
      <c r="HM10" t="e">
        <f>IF(#REF!,"AAAAAH9Hztw=",0)</f>
        <v>#REF!</v>
      </c>
      <c r="HN10" t="e">
        <f>AND(#REF!,"AAAAAH9Hzt0=")</f>
        <v>#REF!</v>
      </c>
      <c r="HO10" t="e">
        <f>AND(#REF!,"AAAAAH9Hzt4=")</f>
        <v>#REF!</v>
      </c>
      <c r="HP10" t="e">
        <f>AND(#REF!,"AAAAAH9Hzt8=")</f>
        <v>#REF!</v>
      </c>
      <c r="HQ10" t="e">
        <f>AND(#REF!,"AAAAAH9HzuA=")</f>
        <v>#REF!</v>
      </c>
      <c r="HR10" t="e">
        <f>AND(#REF!,"AAAAAH9HzuE=")</f>
        <v>#REF!</v>
      </c>
      <c r="HS10" t="e">
        <f>AND(#REF!,"AAAAAH9HzuI=")</f>
        <v>#REF!</v>
      </c>
      <c r="HT10" t="e">
        <f>AND(#REF!,"AAAAAH9HzuM=")</f>
        <v>#REF!</v>
      </c>
      <c r="HU10" t="e">
        <f>AND(#REF!,"AAAAAH9HzuQ=")</f>
        <v>#REF!</v>
      </c>
      <c r="HV10" t="e">
        <f>AND(#REF!,"AAAAAH9HzuU=")</f>
        <v>#REF!</v>
      </c>
      <c r="HW10" t="e">
        <f>AND(#REF!,"AAAAAH9HzuY=")</f>
        <v>#REF!</v>
      </c>
      <c r="HX10" t="e">
        <f>AND(#REF!,"AAAAAH9Hzuc=")</f>
        <v>#REF!</v>
      </c>
      <c r="HY10" t="e">
        <f>AND(#REF!,"AAAAAH9Hzug=")</f>
        <v>#REF!</v>
      </c>
      <c r="HZ10" t="e">
        <f>IF(#REF!,"AAAAAH9Hzuk=",0)</f>
        <v>#REF!</v>
      </c>
      <c r="IA10" t="e">
        <f>AND(#REF!,"AAAAAH9Hzuo=")</f>
        <v>#REF!</v>
      </c>
      <c r="IB10" t="e">
        <f>AND(#REF!,"AAAAAH9Hzus=")</f>
        <v>#REF!</v>
      </c>
      <c r="IC10" t="e">
        <f>AND(#REF!,"AAAAAH9Hzuw=")</f>
        <v>#REF!</v>
      </c>
      <c r="ID10" t="e">
        <f>AND(#REF!,"AAAAAH9Hzu0=")</f>
        <v>#REF!</v>
      </c>
      <c r="IE10" t="e">
        <f>AND(#REF!,"AAAAAH9Hzu4=")</f>
        <v>#REF!</v>
      </c>
      <c r="IF10" t="e">
        <f>AND(#REF!,"AAAAAH9Hzu8=")</f>
        <v>#REF!</v>
      </c>
      <c r="IG10" t="e">
        <f>AND(#REF!,"AAAAAH9HzvA=")</f>
        <v>#REF!</v>
      </c>
      <c r="IH10" t="e">
        <f>AND(#REF!,"AAAAAH9HzvE=")</f>
        <v>#REF!</v>
      </c>
      <c r="II10" t="e">
        <f>AND(#REF!,"AAAAAH9HzvI=")</f>
        <v>#REF!</v>
      </c>
      <c r="IJ10" t="e">
        <f>AND(#REF!,"AAAAAH9HzvM=")</f>
        <v>#REF!</v>
      </c>
      <c r="IK10" t="e">
        <f>AND(#REF!,"AAAAAH9HzvQ=")</f>
        <v>#REF!</v>
      </c>
      <c r="IL10" t="e">
        <f>AND(#REF!,"AAAAAH9HzvU=")</f>
        <v>#REF!</v>
      </c>
      <c r="IM10" t="e">
        <f>IF(#REF!,"AAAAAH9HzvY=",0)</f>
        <v>#REF!</v>
      </c>
      <c r="IN10" t="e">
        <f>AND(#REF!,"AAAAAH9Hzvc=")</f>
        <v>#REF!</v>
      </c>
      <c r="IO10" t="e">
        <f>AND(#REF!,"AAAAAH9Hzvg=")</f>
        <v>#REF!</v>
      </c>
      <c r="IP10" t="e">
        <f>AND(#REF!,"AAAAAH9Hzvk=")</f>
        <v>#REF!</v>
      </c>
      <c r="IQ10" t="e">
        <f>AND(#REF!,"AAAAAH9Hzvo=")</f>
        <v>#REF!</v>
      </c>
      <c r="IR10" t="e">
        <f>AND(#REF!,"AAAAAH9Hzvs=")</f>
        <v>#REF!</v>
      </c>
      <c r="IS10" t="e">
        <f>AND(#REF!,"AAAAAH9Hzvw=")</f>
        <v>#REF!</v>
      </c>
      <c r="IT10" t="e">
        <f>AND(#REF!,"AAAAAH9Hzv0=")</f>
        <v>#REF!</v>
      </c>
      <c r="IU10" t="e">
        <f>AND(#REF!,"AAAAAH9Hzv4=")</f>
        <v>#REF!</v>
      </c>
      <c r="IV10" t="e">
        <f>AND(#REF!,"AAAAAH9Hzv8=")</f>
        <v>#REF!</v>
      </c>
    </row>
    <row r="11" spans="1:256" x14ac:dyDescent="0.25">
      <c r="A11" t="e">
        <f>AND(#REF!,"AAAAAHr3/wA=")</f>
        <v>#REF!</v>
      </c>
      <c r="B11" t="e">
        <f>AND(#REF!,"AAAAAHr3/wE=")</f>
        <v>#REF!</v>
      </c>
      <c r="C11" t="e">
        <f>AND(#REF!,"AAAAAHr3/wI=")</f>
        <v>#REF!</v>
      </c>
      <c r="D11" t="e">
        <f>IF(#REF!,"AAAAAHr3/wM=",0)</f>
        <v>#REF!</v>
      </c>
      <c r="E11" t="e">
        <f>AND(#REF!,"AAAAAHr3/wQ=")</f>
        <v>#REF!</v>
      </c>
      <c r="F11" t="e">
        <f>AND(#REF!,"AAAAAHr3/wU=")</f>
        <v>#REF!</v>
      </c>
      <c r="G11" t="e">
        <f>AND(#REF!,"AAAAAHr3/wY=")</f>
        <v>#REF!</v>
      </c>
      <c r="H11" t="e">
        <f>AND(#REF!,"AAAAAHr3/wc=")</f>
        <v>#REF!</v>
      </c>
      <c r="I11" t="e">
        <f>AND(#REF!,"AAAAAHr3/wg=")</f>
        <v>#REF!</v>
      </c>
      <c r="J11" t="e">
        <f>AND(#REF!,"AAAAAHr3/wk=")</f>
        <v>#REF!</v>
      </c>
      <c r="K11" t="e">
        <f>AND(#REF!,"AAAAAHr3/wo=")</f>
        <v>#REF!</v>
      </c>
      <c r="L11" t="e">
        <f>AND(#REF!,"AAAAAHr3/ws=")</f>
        <v>#REF!</v>
      </c>
      <c r="M11" t="e">
        <f>AND(#REF!,"AAAAAHr3/ww=")</f>
        <v>#REF!</v>
      </c>
      <c r="N11" t="e">
        <f>AND(#REF!,"AAAAAHr3/w0=")</f>
        <v>#REF!</v>
      </c>
      <c r="O11" t="e">
        <f>AND(#REF!,"AAAAAHr3/w4=")</f>
        <v>#REF!</v>
      </c>
      <c r="P11" t="e">
        <f>AND(#REF!,"AAAAAHr3/w8=")</f>
        <v>#REF!</v>
      </c>
      <c r="Q11" t="e">
        <f>IF(#REF!,"AAAAAHr3/xA=",0)</f>
        <v>#REF!</v>
      </c>
      <c r="R11" t="e">
        <f>AND(#REF!,"AAAAAHr3/xE=")</f>
        <v>#REF!</v>
      </c>
      <c r="S11" t="e">
        <f>AND(#REF!,"AAAAAHr3/xI=")</f>
        <v>#REF!</v>
      </c>
      <c r="T11" t="e">
        <f>AND(#REF!,"AAAAAHr3/xM=")</f>
        <v>#REF!</v>
      </c>
      <c r="U11" t="e">
        <f>AND(#REF!,"AAAAAHr3/xQ=")</f>
        <v>#REF!</v>
      </c>
      <c r="V11" t="e">
        <f>AND(#REF!,"AAAAAHr3/xU=")</f>
        <v>#REF!</v>
      </c>
      <c r="W11" t="e">
        <f>AND(#REF!,"AAAAAHr3/xY=")</f>
        <v>#REF!</v>
      </c>
      <c r="X11" t="e">
        <f>AND(#REF!,"AAAAAHr3/xc=")</f>
        <v>#REF!</v>
      </c>
      <c r="Y11" t="e">
        <f>AND(#REF!,"AAAAAHr3/xg=")</f>
        <v>#REF!</v>
      </c>
      <c r="Z11" t="e">
        <f>AND(#REF!,"AAAAAHr3/xk=")</f>
        <v>#REF!</v>
      </c>
      <c r="AA11" t="e">
        <f>AND(#REF!,"AAAAAHr3/xo=")</f>
        <v>#REF!</v>
      </c>
      <c r="AB11" t="e">
        <f>AND(#REF!,"AAAAAHr3/xs=")</f>
        <v>#REF!</v>
      </c>
      <c r="AC11" t="e">
        <f>AND(#REF!,"AAAAAHr3/xw=")</f>
        <v>#REF!</v>
      </c>
      <c r="AD11" t="e">
        <f>IF(#REF!,"AAAAAHr3/x0=",0)</f>
        <v>#REF!</v>
      </c>
      <c r="AE11" t="e">
        <f>AND(#REF!,"AAAAAHr3/x4=")</f>
        <v>#REF!</v>
      </c>
      <c r="AF11" t="e">
        <f>AND(#REF!,"AAAAAHr3/x8=")</f>
        <v>#REF!</v>
      </c>
      <c r="AG11" t="e">
        <f>AND(#REF!,"AAAAAHr3/yA=")</f>
        <v>#REF!</v>
      </c>
      <c r="AH11" t="e">
        <f>AND(#REF!,"AAAAAHr3/yE=")</f>
        <v>#REF!</v>
      </c>
      <c r="AI11" t="e">
        <f>AND(#REF!,"AAAAAHr3/yI=")</f>
        <v>#REF!</v>
      </c>
      <c r="AJ11" t="e">
        <f>AND(#REF!,"AAAAAHr3/yM=")</f>
        <v>#REF!</v>
      </c>
      <c r="AK11" t="e">
        <f>AND(#REF!,"AAAAAHr3/yQ=")</f>
        <v>#REF!</v>
      </c>
      <c r="AL11" t="e">
        <f>AND(#REF!,"AAAAAHr3/yU=")</f>
        <v>#REF!</v>
      </c>
      <c r="AM11" t="e">
        <f>AND(#REF!,"AAAAAHr3/yY=")</f>
        <v>#REF!</v>
      </c>
      <c r="AN11" t="e">
        <f>AND(#REF!,"AAAAAHr3/yc=")</f>
        <v>#REF!</v>
      </c>
      <c r="AO11" t="e">
        <f>AND(#REF!,"AAAAAHr3/yg=")</f>
        <v>#REF!</v>
      </c>
      <c r="AP11" t="e">
        <f>AND(#REF!,"AAAAAHr3/yk=")</f>
        <v>#REF!</v>
      </c>
      <c r="AQ11" t="e">
        <f>IF(#REF!,"AAAAAHr3/yo=",0)</f>
        <v>#REF!</v>
      </c>
      <c r="AR11" t="e">
        <f>AND(#REF!,"AAAAAHr3/ys=")</f>
        <v>#REF!</v>
      </c>
      <c r="AS11" t="e">
        <f>AND(#REF!,"AAAAAHr3/yw=")</f>
        <v>#REF!</v>
      </c>
      <c r="AT11" t="e">
        <f>AND(#REF!,"AAAAAHr3/y0=")</f>
        <v>#REF!</v>
      </c>
      <c r="AU11" t="e">
        <f>AND(#REF!,"AAAAAHr3/y4=")</f>
        <v>#REF!</v>
      </c>
      <c r="AV11" t="e">
        <f>AND(#REF!,"AAAAAHr3/y8=")</f>
        <v>#REF!</v>
      </c>
      <c r="AW11" t="e">
        <f>AND(#REF!,"AAAAAHr3/zA=")</f>
        <v>#REF!</v>
      </c>
      <c r="AX11" t="e">
        <f>AND(#REF!,"AAAAAHr3/zE=")</f>
        <v>#REF!</v>
      </c>
      <c r="AY11" t="e">
        <f>AND(#REF!,"AAAAAHr3/zI=")</f>
        <v>#REF!</v>
      </c>
      <c r="AZ11" t="e">
        <f>AND(#REF!,"AAAAAHr3/zM=")</f>
        <v>#REF!</v>
      </c>
      <c r="BA11" t="e">
        <f>AND(#REF!,"AAAAAHr3/zQ=")</f>
        <v>#REF!</v>
      </c>
      <c r="BB11" t="e">
        <f>AND(#REF!,"AAAAAHr3/zU=")</f>
        <v>#REF!</v>
      </c>
      <c r="BC11" t="e">
        <f>AND(#REF!,"AAAAAHr3/zY=")</f>
        <v>#REF!</v>
      </c>
      <c r="BD11" t="e">
        <f>IF(#REF!,"AAAAAHr3/zc=",0)</f>
        <v>#REF!</v>
      </c>
      <c r="BE11" t="e">
        <f>AND(#REF!,"AAAAAHr3/zg=")</f>
        <v>#REF!</v>
      </c>
      <c r="BF11" t="e">
        <f>AND(#REF!,"AAAAAHr3/zk=")</f>
        <v>#REF!</v>
      </c>
      <c r="BG11" t="e">
        <f>AND(#REF!,"AAAAAHr3/zo=")</f>
        <v>#REF!</v>
      </c>
      <c r="BH11" t="e">
        <f>AND(#REF!,"AAAAAHr3/zs=")</f>
        <v>#REF!</v>
      </c>
      <c r="BI11" t="e">
        <f>AND(#REF!,"AAAAAHr3/zw=")</f>
        <v>#REF!</v>
      </c>
      <c r="BJ11" t="e">
        <f>AND(#REF!,"AAAAAHr3/z0=")</f>
        <v>#REF!</v>
      </c>
      <c r="BK11" t="e">
        <f>AND(#REF!,"AAAAAHr3/z4=")</f>
        <v>#REF!</v>
      </c>
      <c r="BL11" t="e">
        <f>AND(#REF!,"AAAAAHr3/z8=")</f>
        <v>#REF!</v>
      </c>
      <c r="BM11" t="e">
        <f>AND(#REF!,"AAAAAHr3/0A=")</f>
        <v>#REF!</v>
      </c>
      <c r="BN11" t="e">
        <f>AND(#REF!,"AAAAAHr3/0E=")</f>
        <v>#REF!</v>
      </c>
      <c r="BO11" t="e">
        <f>AND(#REF!,"AAAAAHr3/0I=")</f>
        <v>#REF!</v>
      </c>
      <c r="BP11" t="e">
        <f>AND(#REF!,"AAAAAHr3/0M=")</f>
        <v>#REF!</v>
      </c>
      <c r="BQ11" t="e">
        <f>IF(#REF!,"AAAAAHr3/0Q=",0)</f>
        <v>#REF!</v>
      </c>
      <c r="BR11" t="e">
        <f>AND(#REF!,"AAAAAHr3/0U=")</f>
        <v>#REF!</v>
      </c>
      <c r="BS11" t="e">
        <f>AND(#REF!,"AAAAAHr3/0Y=")</f>
        <v>#REF!</v>
      </c>
      <c r="BT11" t="e">
        <f>AND(#REF!,"AAAAAHr3/0c=")</f>
        <v>#REF!</v>
      </c>
      <c r="BU11" t="e">
        <f>AND(#REF!,"AAAAAHr3/0g=")</f>
        <v>#REF!</v>
      </c>
      <c r="BV11" t="e">
        <f>AND(#REF!,"AAAAAHr3/0k=")</f>
        <v>#REF!</v>
      </c>
      <c r="BW11" t="e">
        <f>AND(#REF!,"AAAAAHr3/0o=")</f>
        <v>#REF!</v>
      </c>
      <c r="BX11" t="e">
        <f>AND(#REF!,"AAAAAHr3/0s=")</f>
        <v>#REF!</v>
      </c>
      <c r="BY11" t="e">
        <f>AND(#REF!,"AAAAAHr3/0w=")</f>
        <v>#REF!</v>
      </c>
      <c r="BZ11" t="e">
        <f>AND(#REF!,"AAAAAHr3/00=")</f>
        <v>#REF!</v>
      </c>
      <c r="CA11" t="e">
        <f>AND(#REF!,"AAAAAHr3/04=")</f>
        <v>#REF!</v>
      </c>
      <c r="CB11" t="e">
        <f>AND(#REF!,"AAAAAHr3/08=")</f>
        <v>#REF!</v>
      </c>
      <c r="CC11" t="e">
        <f>AND(#REF!,"AAAAAHr3/1A=")</f>
        <v>#REF!</v>
      </c>
      <c r="CD11" t="e">
        <f>IF(#REF!,"AAAAAHr3/1E=",0)</f>
        <v>#REF!</v>
      </c>
      <c r="CE11" t="e">
        <f>AND(#REF!,"AAAAAHr3/1I=")</f>
        <v>#REF!</v>
      </c>
      <c r="CF11" t="e">
        <f>AND(#REF!,"AAAAAHr3/1M=")</f>
        <v>#REF!</v>
      </c>
      <c r="CG11" t="e">
        <f>AND(#REF!,"AAAAAHr3/1Q=")</f>
        <v>#REF!</v>
      </c>
      <c r="CH11" t="e">
        <f>AND(#REF!,"AAAAAHr3/1U=")</f>
        <v>#REF!</v>
      </c>
      <c r="CI11" t="e">
        <f>AND(#REF!,"AAAAAHr3/1Y=")</f>
        <v>#REF!</v>
      </c>
      <c r="CJ11" t="e">
        <f>AND(#REF!,"AAAAAHr3/1c=")</f>
        <v>#REF!</v>
      </c>
      <c r="CK11" t="e">
        <f>AND(#REF!,"AAAAAHr3/1g=")</f>
        <v>#REF!</v>
      </c>
      <c r="CL11" t="e">
        <f>AND(#REF!,"AAAAAHr3/1k=")</f>
        <v>#REF!</v>
      </c>
      <c r="CM11" t="e">
        <f>AND(#REF!,"AAAAAHr3/1o=")</f>
        <v>#REF!</v>
      </c>
      <c r="CN11" t="e">
        <f>AND(#REF!,"AAAAAHr3/1s=")</f>
        <v>#REF!</v>
      </c>
      <c r="CO11" t="e">
        <f>AND(#REF!,"AAAAAHr3/1w=")</f>
        <v>#REF!</v>
      </c>
      <c r="CP11" t="e">
        <f>AND(#REF!,"AAAAAHr3/10=")</f>
        <v>#REF!</v>
      </c>
      <c r="CQ11" t="e">
        <f>IF(#REF!,"AAAAAHr3/14=",0)</f>
        <v>#REF!</v>
      </c>
      <c r="CR11" t="e">
        <f>AND(#REF!,"AAAAAHr3/18=")</f>
        <v>#REF!</v>
      </c>
      <c r="CS11" t="e">
        <f>AND(#REF!,"AAAAAHr3/2A=")</f>
        <v>#REF!</v>
      </c>
      <c r="CT11" t="e">
        <f>AND(#REF!,"AAAAAHr3/2E=")</f>
        <v>#REF!</v>
      </c>
      <c r="CU11" t="e">
        <f>AND(#REF!,"AAAAAHr3/2I=")</f>
        <v>#REF!</v>
      </c>
      <c r="CV11" t="e">
        <f>AND(#REF!,"AAAAAHr3/2M=")</f>
        <v>#REF!</v>
      </c>
      <c r="CW11" t="e">
        <f>AND(#REF!,"AAAAAHr3/2Q=")</f>
        <v>#REF!</v>
      </c>
      <c r="CX11" t="e">
        <f>AND(#REF!,"AAAAAHr3/2U=")</f>
        <v>#REF!</v>
      </c>
      <c r="CY11" t="e">
        <f>AND(#REF!,"AAAAAHr3/2Y=")</f>
        <v>#REF!</v>
      </c>
      <c r="CZ11" t="e">
        <f>AND(#REF!,"AAAAAHr3/2c=")</f>
        <v>#REF!</v>
      </c>
      <c r="DA11" t="e">
        <f>AND(#REF!,"AAAAAHr3/2g=")</f>
        <v>#REF!</v>
      </c>
      <c r="DB11" t="e">
        <f>AND(#REF!,"AAAAAHr3/2k=")</f>
        <v>#REF!</v>
      </c>
      <c r="DC11" t="e">
        <f>AND(#REF!,"AAAAAHr3/2o=")</f>
        <v>#REF!</v>
      </c>
      <c r="DD11" t="e">
        <f>IF(#REF!,"AAAAAHr3/2s=",0)</f>
        <v>#REF!</v>
      </c>
      <c r="DE11" t="e">
        <f>AND(#REF!,"AAAAAHr3/2w=")</f>
        <v>#REF!</v>
      </c>
      <c r="DF11" t="e">
        <f>AND(#REF!,"AAAAAHr3/20=")</f>
        <v>#REF!</v>
      </c>
      <c r="DG11" t="e">
        <f>AND(#REF!,"AAAAAHr3/24=")</f>
        <v>#REF!</v>
      </c>
      <c r="DH11" t="e">
        <f>AND(#REF!,"AAAAAHr3/28=")</f>
        <v>#REF!</v>
      </c>
      <c r="DI11" t="e">
        <f>AND(#REF!,"AAAAAHr3/3A=")</f>
        <v>#REF!</v>
      </c>
      <c r="DJ11" t="e">
        <f>AND(#REF!,"AAAAAHr3/3E=")</f>
        <v>#REF!</v>
      </c>
      <c r="DK11" t="e">
        <f>AND(#REF!,"AAAAAHr3/3I=")</f>
        <v>#REF!</v>
      </c>
      <c r="DL11" t="e">
        <f>AND(#REF!,"AAAAAHr3/3M=")</f>
        <v>#REF!</v>
      </c>
      <c r="DM11" t="e">
        <f>AND(#REF!,"AAAAAHr3/3Q=")</f>
        <v>#REF!</v>
      </c>
      <c r="DN11" t="e">
        <f>AND(#REF!,"AAAAAHr3/3U=")</f>
        <v>#REF!</v>
      </c>
      <c r="DO11" t="e">
        <f>AND(#REF!,"AAAAAHr3/3Y=")</f>
        <v>#REF!</v>
      </c>
      <c r="DP11" t="e">
        <f>AND(#REF!,"AAAAAHr3/3c=")</f>
        <v>#REF!</v>
      </c>
      <c r="DQ11" t="e">
        <f>IF(#REF!,"AAAAAHr3/3g=",0)</f>
        <v>#REF!</v>
      </c>
      <c r="DR11" t="e">
        <f>AND(#REF!,"AAAAAHr3/3k=")</f>
        <v>#REF!</v>
      </c>
      <c r="DS11" t="e">
        <f>AND(#REF!,"AAAAAHr3/3o=")</f>
        <v>#REF!</v>
      </c>
      <c r="DT11" t="e">
        <f>AND(#REF!,"AAAAAHr3/3s=")</f>
        <v>#REF!</v>
      </c>
      <c r="DU11" t="e">
        <f>AND(#REF!,"AAAAAHr3/3w=")</f>
        <v>#REF!</v>
      </c>
      <c r="DV11" t="e">
        <f>AND(#REF!,"AAAAAHr3/30=")</f>
        <v>#REF!</v>
      </c>
      <c r="DW11" t="e">
        <f>AND(#REF!,"AAAAAHr3/34=")</f>
        <v>#REF!</v>
      </c>
      <c r="DX11" t="e">
        <f>AND(#REF!,"AAAAAHr3/38=")</f>
        <v>#REF!</v>
      </c>
      <c r="DY11" t="e">
        <f>AND(#REF!,"AAAAAHr3/4A=")</f>
        <v>#REF!</v>
      </c>
      <c r="DZ11" t="e">
        <f>AND(#REF!,"AAAAAHr3/4E=")</f>
        <v>#REF!</v>
      </c>
      <c r="EA11" t="e">
        <f>AND(#REF!,"AAAAAHr3/4I=")</f>
        <v>#REF!</v>
      </c>
      <c r="EB11" t="e">
        <f>AND(#REF!,"AAAAAHr3/4M=")</f>
        <v>#REF!</v>
      </c>
      <c r="EC11" t="e">
        <f>AND(#REF!,"AAAAAHr3/4Q=")</f>
        <v>#REF!</v>
      </c>
      <c r="ED11" t="e">
        <f>IF(#REF!,"AAAAAHr3/4U=",0)</f>
        <v>#REF!</v>
      </c>
      <c r="EE11" t="e">
        <f>AND(#REF!,"AAAAAHr3/4Y=")</f>
        <v>#REF!</v>
      </c>
      <c r="EF11" t="e">
        <f>AND(#REF!,"AAAAAHr3/4c=")</f>
        <v>#REF!</v>
      </c>
      <c r="EG11" t="e">
        <f>AND(#REF!,"AAAAAHr3/4g=")</f>
        <v>#REF!</v>
      </c>
      <c r="EH11" t="e">
        <f>AND(#REF!,"AAAAAHr3/4k=")</f>
        <v>#REF!</v>
      </c>
      <c r="EI11" t="e">
        <f>AND(#REF!,"AAAAAHr3/4o=")</f>
        <v>#REF!</v>
      </c>
      <c r="EJ11" t="e">
        <f>AND(#REF!,"AAAAAHr3/4s=")</f>
        <v>#REF!</v>
      </c>
      <c r="EK11" t="e">
        <f>AND(#REF!,"AAAAAHr3/4w=")</f>
        <v>#REF!</v>
      </c>
      <c r="EL11" t="e">
        <f>AND(#REF!,"AAAAAHr3/40=")</f>
        <v>#REF!</v>
      </c>
      <c r="EM11" t="e">
        <f>AND(#REF!,"AAAAAHr3/44=")</f>
        <v>#REF!</v>
      </c>
      <c r="EN11" t="e">
        <f>AND(#REF!,"AAAAAHr3/48=")</f>
        <v>#REF!</v>
      </c>
      <c r="EO11" t="e">
        <f>AND(#REF!,"AAAAAHr3/5A=")</f>
        <v>#REF!</v>
      </c>
      <c r="EP11" t="e">
        <f>AND(#REF!,"AAAAAHr3/5E=")</f>
        <v>#REF!</v>
      </c>
      <c r="EQ11" t="e">
        <f>IF(#REF!,"AAAAAHr3/5I=",0)</f>
        <v>#REF!</v>
      </c>
      <c r="ER11" t="e">
        <f>AND(#REF!,"AAAAAHr3/5M=")</f>
        <v>#REF!</v>
      </c>
      <c r="ES11" t="e">
        <f>AND(#REF!,"AAAAAHr3/5Q=")</f>
        <v>#REF!</v>
      </c>
      <c r="ET11" t="e">
        <f>AND(#REF!,"AAAAAHr3/5U=")</f>
        <v>#REF!</v>
      </c>
      <c r="EU11" t="e">
        <f>AND(#REF!,"AAAAAHr3/5Y=")</f>
        <v>#REF!</v>
      </c>
      <c r="EV11" t="e">
        <f>AND(#REF!,"AAAAAHr3/5c=")</f>
        <v>#REF!</v>
      </c>
      <c r="EW11" t="e">
        <f>AND(#REF!,"AAAAAHr3/5g=")</f>
        <v>#REF!</v>
      </c>
      <c r="EX11" t="e">
        <f>AND(#REF!,"AAAAAHr3/5k=")</f>
        <v>#REF!</v>
      </c>
      <c r="EY11" t="e">
        <f>AND(#REF!,"AAAAAHr3/5o=")</f>
        <v>#REF!</v>
      </c>
      <c r="EZ11" t="e">
        <f>AND(#REF!,"AAAAAHr3/5s=")</f>
        <v>#REF!</v>
      </c>
      <c r="FA11" t="e">
        <f>AND(#REF!,"AAAAAHr3/5w=")</f>
        <v>#REF!</v>
      </c>
      <c r="FB11" t="e">
        <f>AND(#REF!,"AAAAAHr3/50=")</f>
        <v>#REF!</v>
      </c>
      <c r="FC11" t="e">
        <f>AND(#REF!,"AAAAAHr3/54=")</f>
        <v>#REF!</v>
      </c>
      <c r="FD11" t="e">
        <f>IF(#REF!,"AAAAAHr3/58=",0)</f>
        <v>#REF!</v>
      </c>
      <c r="FE11" t="e">
        <f>AND(#REF!,"AAAAAHr3/6A=")</f>
        <v>#REF!</v>
      </c>
      <c r="FF11" t="e">
        <f>AND(#REF!,"AAAAAHr3/6E=")</f>
        <v>#REF!</v>
      </c>
      <c r="FG11" t="e">
        <f>AND(#REF!,"AAAAAHr3/6I=")</f>
        <v>#REF!</v>
      </c>
      <c r="FH11" t="e">
        <f>AND(#REF!,"AAAAAHr3/6M=")</f>
        <v>#REF!</v>
      </c>
      <c r="FI11" t="e">
        <f>AND(#REF!,"AAAAAHr3/6Q=")</f>
        <v>#REF!</v>
      </c>
      <c r="FJ11" t="e">
        <f>AND(#REF!,"AAAAAHr3/6U=")</f>
        <v>#REF!</v>
      </c>
      <c r="FK11" t="e">
        <f>AND(#REF!,"AAAAAHr3/6Y=")</f>
        <v>#REF!</v>
      </c>
      <c r="FL11" t="e">
        <f>AND(#REF!,"AAAAAHr3/6c=")</f>
        <v>#REF!</v>
      </c>
      <c r="FM11" t="e">
        <f>AND(#REF!,"AAAAAHr3/6g=")</f>
        <v>#REF!</v>
      </c>
      <c r="FN11" t="e">
        <f>AND(#REF!,"AAAAAHr3/6k=")</f>
        <v>#REF!</v>
      </c>
      <c r="FO11" t="e">
        <f>AND(#REF!,"AAAAAHr3/6o=")</f>
        <v>#REF!</v>
      </c>
      <c r="FP11" t="e">
        <f>AND(#REF!,"AAAAAHr3/6s=")</f>
        <v>#REF!</v>
      </c>
      <c r="FQ11" t="e">
        <f>IF(#REF!,"AAAAAHr3/6w=",0)</f>
        <v>#REF!</v>
      </c>
      <c r="FR11" t="e">
        <f>AND(#REF!,"AAAAAHr3/60=")</f>
        <v>#REF!</v>
      </c>
      <c r="FS11" t="e">
        <f>AND(#REF!,"AAAAAHr3/64=")</f>
        <v>#REF!</v>
      </c>
      <c r="FT11" t="e">
        <f>AND(#REF!,"AAAAAHr3/68=")</f>
        <v>#REF!</v>
      </c>
      <c r="FU11" t="e">
        <f>AND(#REF!,"AAAAAHr3/7A=")</f>
        <v>#REF!</v>
      </c>
      <c r="FV11" t="e">
        <f>AND(#REF!,"AAAAAHr3/7E=")</f>
        <v>#REF!</v>
      </c>
      <c r="FW11" t="e">
        <f>AND(#REF!,"AAAAAHr3/7I=")</f>
        <v>#REF!</v>
      </c>
      <c r="FX11" t="e">
        <f>AND(#REF!,"AAAAAHr3/7M=")</f>
        <v>#REF!</v>
      </c>
      <c r="FY11" t="e">
        <f>AND(#REF!,"AAAAAHr3/7Q=")</f>
        <v>#REF!</v>
      </c>
      <c r="FZ11" t="e">
        <f>AND(#REF!,"AAAAAHr3/7U=")</f>
        <v>#REF!</v>
      </c>
      <c r="GA11" t="e">
        <f>AND(#REF!,"AAAAAHr3/7Y=")</f>
        <v>#REF!</v>
      </c>
      <c r="GB11" t="e">
        <f>AND(#REF!,"AAAAAHr3/7c=")</f>
        <v>#REF!</v>
      </c>
      <c r="GC11" t="e">
        <f>AND(#REF!,"AAAAAHr3/7g=")</f>
        <v>#REF!</v>
      </c>
      <c r="GD11" t="e">
        <f>IF(#REF!,"AAAAAHr3/7k=",0)</f>
        <v>#REF!</v>
      </c>
      <c r="GE11" t="e">
        <f>AND(#REF!,"AAAAAHr3/7o=")</f>
        <v>#REF!</v>
      </c>
      <c r="GF11" t="e">
        <f>AND(#REF!,"AAAAAHr3/7s=")</f>
        <v>#REF!</v>
      </c>
      <c r="GG11" t="e">
        <f>AND(#REF!,"AAAAAHr3/7w=")</f>
        <v>#REF!</v>
      </c>
      <c r="GH11" t="e">
        <f>AND(#REF!,"AAAAAHr3/70=")</f>
        <v>#REF!</v>
      </c>
      <c r="GI11" t="e">
        <f>AND(#REF!,"AAAAAHr3/74=")</f>
        <v>#REF!</v>
      </c>
      <c r="GJ11" t="e">
        <f>AND(#REF!,"AAAAAHr3/78=")</f>
        <v>#REF!</v>
      </c>
      <c r="GK11" t="e">
        <f>AND(#REF!,"AAAAAHr3/8A=")</f>
        <v>#REF!</v>
      </c>
      <c r="GL11" t="e">
        <f>AND(#REF!,"AAAAAHr3/8E=")</f>
        <v>#REF!</v>
      </c>
      <c r="GM11" t="e">
        <f>AND(#REF!,"AAAAAHr3/8I=")</f>
        <v>#REF!</v>
      </c>
      <c r="GN11" t="e">
        <f>AND(#REF!,"AAAAAHr3/8M=")</f>
        <v>#REF!</v>
      </c>
      <c r="GO11" t="e">
        <f>AND(#REF!,"AAAAAHr3/8Q=")</f>
        <v>#REF!</v>
      </c>
      <c r="GP11" t="e">
        <f>AND(#REF!,"AAAAAHr3/8U=")</f>
        <v>#REF!</v>
      </c>
      <c r="GQ11" t="e">
        <f>IF(#REF!,"AAAAAHr3/8Y=",0)</f>
        <v>#REF!</v>
      </c>
      <c r="GR11" t="e">
        <f>AND(#REF!,"AAAAAHr3/8c=")</f>
        <v>#REF!</v>
      </c>
      <c r="GS11" t="e">
        <f>AND(#REF!,"AAAAAHr3/8g=")</f>
        <v>#REF!</v>
      </c>
      <c r="GT11" t="e">
        <f>AND(#REF!,"AAAAAHr3/8k=")</f>
        <v>#REF!</v>
      </c>
      <c r="GU11" t="e">
        <f>AND(#REF!,"AAAAAHr3/8o=")</f>
        <v>#REF!</v>
      </c>
      <c r="GV11" t="e">
        <f>AND(#REF!,"AAAAAHr3/8s=")</f>
        <v>#REF!</v>
      </c>
      <c r="GW11" t="e">
        <f>AND(#REF!,"AAAAAHr3/8w=")</f>
        <v>#REF!</v>
      </c>
      <c r="GX11" t="e">
        <f>AND(#REF!,"AAAAAHr3/80=")</f>
        <v>#REF!</v>
      </c>
      <c r="GY11" t="e">
        <f>AND(#REF!,"AAAAAHr3/84=")</f>
        <v>#REF!</v>
      </c>
      <c r="GZ11" t="e">
        <f>AND(#REF!,"AAAAAHr3/88=")</f>
        <v>#REF!</v>
      </c>
      <c r="HA11" t="e">
        <f>AND(#REF!,"AAAAAHr3/9A=")</f>
        <v>#REF!</v>
      </c>
      <c r="HB11" t="e">
        <f>AND(#REF!,"AAAAAHr3/9E=")</f>
        <v>#REF!</v>
      </c>
      <c r="HC11" t="e">
        <f>AND(#REF!,"AAAAAHr3/9I=")</f>
        <v>#REF!</v>
      </c>
      <c r="HD11" t="e">
        <f>IF(#REF!,"AAAAAHr3/9M=",0)</f>
        <v>#REF!</v>
      </c>
      <c r="HE11" t="e">
        <f>AND(#REF!,"AAAAAHr3/9Q=")</f>
        <v>#REF!</v>
      </c>
      <c r="HF11" t="e">
        <f>AND(#REF!,"AAAAAHr3/9U=")</f>
        <v>#REF!</v>
      </c>
      <c r="HG11" t="e">
        <f>AND(#REF!,"AAAAAHr3/9Y=")</f>
        <v>#REF!</v>
      </c>
      <c r="HH11" t="e">
        <f>AND(#REF!,"AAAAAHr3/9c=")</f>
        <v>#REF!</v>
      </c>
      <c r="HI11" t="e">
        <f>AND(#REF!,"AAAAAHr3/9g=")</f>
        <v>#REF!</v>
      </c>
      <c r="HJ11" t="e">
        <f>AND(#REF!,"AAAAAHr3/9k=")</f>
        <v>#REF!</v>
      </c>
      <c r="HK11" t="e">
        <f>AND(#REF!,"AAAAAHr3/9o=")</f>
        <v>#REF!</v>
      </c>
      <c r="HL11" t="e">
        <f>AND(#REF!,"AAAAAHr3/9s=")</f>
        <v>#REF!</v>
      </c>
      <c r="HM11" t="e">
        <f>AND(#REF!,"AAAAAHr3/9w=")</f>
        <v>#REF!</v>
      </c>
      <c r="HN11" t="e">
        <f>AND(#REF!,"AAAAAHr3/90=")</f>
        <v>#REF!</v>
      </c>
      <c r="HO11" t="e">
        <f>AND(#REF!,"AAAAAHr3/94=")</f>
        <v>#REF!</v>
      </c>
      <c r="HP11" t="e">
        <f>AND(#REF!,"AAAAAHr3/98=")</f>
        <v>#REF!</v>
      </c>
      <c r="HQ11" t="e">
        <f>IF(#REF!,"AAAAAHr3/+A=",0)</f>
        <v>#REF!</v>
      </c>
      <c r="HR11" t="e">
        <f>AND(#REF!,"AAAAAHr3/+E=")</f>
        <v>#REF!</v>
      </c>
      <c r="HS11" t="e">
        <f>AND(#REF!,"AAAAAHr3/+I=")</f>
        <v>#REF!</v>
      </c>
      <c r="HT11" t="e">
        <f>AND(#REF!,"AAAAAHr3/+M=")</f>
        <v>#REF!</v>
      </c>
      <c r="HU11" t="e">
        <f>AND(#REF!,"AAAAAHr3/+Q=")</f>
        <v>#REF!</v>
      </c>
      <c r="HV11" t="e">
        <f>AND(#REF!,"AAAAAHr3/+U=")</f>
        <v>#REF!</v>
      </c>
      <c r="HW11" t="e">
        <f>AND(#REF!,"AAAAAHr3/+Y=")</f>
        <v>#REF!</v>
      </c>
      <c r="HX11" t="e">
        <f>AND(#REF!,"AAAAAHr3/+c=")</f>
        <v>#REF!</v>
      </c>
      <c r="HY11" t="e">
        <f>AND(#REF!,"AAAAAHr3/+g=")</f>
        <v>#REF!</v>
      </c>
      <c r="HZ11" t="e">
        <f>AND(#REF!,"AAAAAHr3/+k=")</f>
        <v>#REF!</v>
      </c>
      <c r="IA11" t="e">
        <f>AND(#REF!,"AAAAAHr3/+o=")</f>
        <v>#REF!</v>
      </c>
      <c r="IB11" t="e">
        <f>AND(#REF!,"AAAAAHr3/+s=")</f>
        <v>#REF!</v>
      </c>
      <c r="IC11" t="e">
        <f>AND(#REF!,"AAAAAHr3/+w=")</f>
        <v>#REF!</v>
      </c>
      <c r="ID11" t="e">
        <f>IF(#REF!,"AAAAAHr3/+0=",0)</f>
        <v>#REF!</v>
      </c>
      <c r="IE11" t="e">
        <f>AND(#REF!,"AAAAAHr3/+4=")</f>
        <v>#REF!</v>
      </c>
      <c r="IF11" t="e">
        <f>AND(#REF!,"AAAAAHr3/+8=")</f>
        <v>#REF!</v>
      </c>
      <c r="IG11" t="e">
        <f>AND(#REF!,"AAAAAHr3//A=")</f>
        <v>#REF!</v>
      </c>
      <c r="IH11" t="e">
        <f>AND(#REF!,"AAAAAHr3//E=")</f>
        <v>#REF!</v>
      </c>
      <c r="II11" t="e">
        <f>AND(#REF!,"AAAAAHr3//I=")</f>
        <v>#REF!</v>
      </c>
      <c r="IJ11" t="e">
        <f>AND(#REF!,"AAAAAHr3//M=")</f>
        <v>#REF!</v>
      </c>
      <c r="IK11" t="e">
        <f>AND(#REF!,"AAAAAHr3//Q=")</f>
        <v>#REF!</v>
      </c>
      <c r="IL11" t="e">
        <f>AND(#REF!,"AAAAAHr3//U=")</f>
        <v>#REF!</v>
      </c>
      <c r="IM11" t="e">
        <f>AND(#REF!,"AAAAAHr3//Y=")</f>
        <v>#REF!</v>
      </c>
      <c r="IN11" t="e">
        <f>AND(#REF!,"AAAAAHr3//c=")</f>
        <v>#REF!</v>
      </c>
      <c r="IO11" t="e">
        <f>AND(#REF!,"AAAAAHr3//g=")</f>
        <v>#REF!</v>
      </c>
      <c r="IP11" t="e">
        <f>AND(#REF!,"AAAAAHr3//k=")</f>
        <v>#REF!</v>
      </c>
      <c r="IQ11" t="e">
        <f>IF(#REF!,"AAAAAHr3//o=",0)</f>
        <v>#REF!</v>
      </c>
      <c r="IR11" t="e">
        <f>AND(#REF!,"AAAAAHr3//s=")</f>
        <v>#REF!</v>
      </c>
      <c r="IS11" t="e">
        <f>AND(#REF!,"AAAAAHr3//w=")</f>
        <v>#REF!</v>
      </c>
      <c r="IT11" t="e">
        <f>AND(#REF!,"AAAAAHr3//0=")</f>
        <v>#REF!</v>
      </c>
      <c r="IU11" t="e">
        <f>AND(#REF!,"AAAAAHr3//4=")</f>
        <v>#REF!</v>
      </c>
      <c r="IV11" t="e">
        <f>AND(#REF!,"AAAAAHr3//8=")</f>
        <v>#REF!</v>
      </c>
    </row>
    <row r="12" spans="1:256" x14ac:dyDescent="0.25">
      <c r="A12" t="e">
        <f>AND(#REF!,"AAAAAHdP+wA=")</f>
        <v>#REF!</v>
      </c>
      <c r="B12" t="e">
        <f>AND(#REF!,"AAAAAHdP+wE=")</f>
        <v>#REF!</v>
      </c>
      <c r="C12" t="e">
        <f>AND(#REF!,"AAAAAHdP+wI=")</f>
        <v>#REF!</v>
      </c>
      <c r="D12" t="e">
        <f>AND(#REF!,"AAAAAHdP+wM=")</f>
        <v>#REF!</v>
      </c>
      <c r="E12" t="e">
        <f>AND(#REF!,"AAAAAHdP+wQ=")</f>
        <v>#REF!</v>
      </c>
      <c r="F12" t="e">
        <f>AND(#REF!,"AAAAAHdP+wU=")</f>
        <v>#REF!</v>
      </c>
      <c r="G12" t="e">
        <f>AND(#REF!,"AAAAAHdP+wY=")</f>
        <v>#REF!</v>
      </c>
      <c r="H12" t="e">
        <f>IF(#REF!,"AAAAAHdP+wc=",0)</f>
        <v>#REF!</v>
      </c>
      <c r="I12" t="e">
        <f>AND(#REF!,"AAAAAHdP+wg=")</f>
        <v>#REF!</v>
      </c>
      <c r="J12" t="e">
        <f>AND(#REF!,"AAAAAHdP+wk=")</f>
        <v>#REF!</v>
      </c>
      <c r="K12" t="e">
        <f>AND(#REF!,"AAAAAHdP+wo=")</f>
        <v>#REF!</v>
      </c>
      <c r="L12" t="e">
        <f>AND(#REF!,"AAAAAHdP+ws=")</f>
        <v>#REF!</v>
      </c>
      <c r="M12" t="e">
        <f>AND(#REF!,"AAAAAHdP+ww=")</f>
        <v>#REF!</v>
      </c>
      <c r="N12" t="e">
        <f>AND(#REF!,"AAAAAHdP+w0=")</f>
        <v>#REF!</v>
      </c>
      <c r="O12" t="e">
        <f>AND(#REF!,"AAAAAHdP+w4=")</f>
        <v>#REF!</v>
      </c>
      <c r="P12" t="e">
        <f>AND(#REF!,"AAAAAHdP+w8=")</f>
        <v>#REF!</v>
      </c>
      <c r="Q12" t="e">
        <f>AND(#REF!,"AAAAAHdP+xA=")</f>
        <v>#REF!</v>
      </c>
      <c r="R12" t="e">
        <f>AND(#REF!,"AAAAAHdP+xE=")</f>
        <v>#REF!</v>
      </c>
      <c r="S12" t="e">
        <f>AND(#REF!,"AAAAAHdP+xI=")</f>
        <v>#REF!</v>
      </c>
      <c r="T12" t="e">
        <f>AND(#REF!,"AAAAAHdP+xM=")</f>
        <v>#REF!</v>
      </c>
      <c r="U12" t="e">
        <f>IF(#REF!,"AAAAAHdP+xQ=",0)</f>
        <v>#REF!</v>
      </c>
      <c r="V12" t="e">
        <f>AND(#REF!,"AAAAAHdP+xU=")</f>
        <v>#REF!</v>
      </c>
      <c r="W12" t="e">
        <f>AND(#REF!,"AAAAAHdP+xY=")</f>
        <v>#REF!</v>
      </c>
      <c r="X12" t="e">
        <f>AND(#REF!,"AAAAAHdP+xc=")</f>
        <v>#REF!</v>
      </c>
      <c r="Y12" t="e">
        <f>AND(#REF!,"AAAAAHdP+xg=")</f>
        <v>#REF!</v>
      </c>
      <c r="Z12" t="e">
        <f>AND(#REF!,"AAAAAHdP+xk=")</f>
        <v>#REF!</v>
      </c>
      <c r="AA12" t="e">
        <f>AND(#REF!,"AAAAAHdP+xo=")</f>
        <v>#REF!</v>
      </c>
      <c r="AB12" t="e">
        <f>AND(#REF!,"AAAAAHdP+xs=")</f>
        <v>#REF!</v>
      </c>
      <c r="AC12" t="e">
        <f>AND(#REF!,"AAAAAHdP+xw=")</f>
        <v>#REF!</v>
      </c>
      <c r="AD12" t="e">
        <f>AND(#REF!,"AAAAAHdP+x0=")</f>
        <v>#REF!</v>
      </c>
      <c r="AE12" t="e">
        <f>AND(#REF!,"AAAAAHdP+x4=")</f>
        <v>#REF!</v>
      </c>
      <c r="AF12" t="e">
        <f>AND(#REF!,"AAAAAHdP+x8=")</f>
        <v>#REF!</v>
      </c>
      <c r="AG12" t="e">
        <f>AND(#REF!,"AAAAAHdP+yA=")</f>
        <v>#REF!</v>
      </c>
      <c r="AH12" t="e">
        <f>IF(#REF!,"AAAAAHdP+yE=",0)</f>
        <v>#REF!</v>
      </c>
      <c r="AI12" t="e">
        <f>AND(#REF!,"AAAAAHdP+yI=")</f>
        <v>#REF!</v>
      </c>
      <c r="AJ12" t="e">
        <f>AND(#REF!,"AAAAAHdP+yM=")</f>
        <v>#REF!</v>
      </c>
      <c r="AK12" t="e">
        <f>AND(#REF!,"AAAAAHdP+yQ=")</f>
        <v>#REF!</v>
      </c>
      <c r="AL12" t="e">
        <f>AND(#REF!,"AAAAAHdP+yU=")</f>
        <v>#REF!</v>
      </c>
      <c r="AM12" t="e">
        <f>AND(#REF!,"AAAAAHdP+yY=")</f>
        <v>#REF!</v>
      </c>
      <c r="AN12" t="e">
        <f>AND(#REF!,"AAAAAHdP+yc=")</f>
        <v>#REF!</v>
      </c>
      <c r="AO12" t="e">
        <f>AND(#REF!,"AAAAAHdP+yg=")</f>
        <v>#REF!</v>
      </c>
      <c r="AP12" t="e">
        <f>AND(#REF!,"AAAAAHdP+yk=")</f>
        <v>#REF!</v>
      </c>
      <c r="AQ12" t="e">
        <f>AND(#REF!,"AAAAAHdP+yo=")</f>
        <v>#REF!</v>
      </c>
      <c r="AR12" t="e">
        <f>AND(#REF!,"AAAAAHdP+ys=")</f>
        <v>#REF!</v>
      </c>
      <c r="AS12" t="e">
        <f>AND(#REF!,"AAAAAHdP+yw=")</f>
        <v>#REF!</v>
      </c>
      <c r="AT12" t="e">
        <f>AND(#REF!,"AAAAAHdP+y0=")</f>
        <v>#REF!</v>
      </c>
      <c r="AU12" t="e">
        <f>IF(#REF!,"AAAAAHdP+y4=",0)</f>
        <v>#REF!</v>
      </c>
      <c r="AV12" t="e">
        <f>AND(#REF!,"AAAAAHdP+y8=")</f>
        <v>#REF!</v>
      </c>
      <c r="AW12" t="e">
        <f>AND(#REF!,"AAAAAHdP+zA=")</f>
        <v>#REF!</v>
      </c>
      <c r="AX12" t="e">
        <f>AND(#REF!,"AAAAAHdP+zE=")</f>
        <v>#REF!</v>
      </c>
      <c r="AY12" t="e">
        <f>AND(#REF!,"AAAAAHdP+zI=")</f>
        <v>#REF!</v>
      </c>
      <c r="AZ12" t="e">
        <f>AND(#REF!,"AAAAAHdP+zM=")</f>
        <v>#REF!</v>
      </c>
      <c r="BA12" t="e">
        <f>AND(#REF!,"AAAAAHdP+zQ=")</f>
        <v>#REF!</v>
      </c>
      <c r="BB12" t="e">
        <f>AND(#REF!,"AAAAAHdP+zU=")</f>
        <v>#REF!</v>
      </c>
      <c r="BC12" t="e">
        <f>AND(#REF!,"AAAAAHdP+zY=")</f>
        <v>#REF!</v>
      </c>
      <c r="BD12" t="e">
        <f>AND(#REF!,"AAAAAHdP+zc=")</f>
        <v>#REF!</v>
      </c>
      <c r="BE12" t="e">
        <f>AND(#REF!,"AAAAAHdP+zg=")</f>
        <v>#REF!</v>
      </c>
      <c r="BF12" t="e">
        <f>AND(#REF!,"AAAAAHdP+zk=")</f>
        <v>#REF!</v>
      </c>
      <c r="BG12" t="e">
        <f>AND(#REF!,"AAAAAHdP+zo=")</f>
        <v>#REF!</v>
      </c>
      <c r="BH12" t="e">
        <f>IF(#REF!,"AAAAAHdP+zs=",0)</f>
        <v>#REF!</v>
      </c>
      <c r="BI12" t="e">
        <f>AND(#REF!,"AAAAAHdP+zw=")</f>
        <v>#REF!</v>
      </c>
      <c r="BJ12" t="e">
        <f>AND(#REF!,"AAAAAHdP+z0=")</f>
        <v>#REF!</v>
      </c>
      <c r="BK12" t="e">
        <f>AND(#REF!,"AAAAAHdP+z4=")</f>
        <v>#REF!</v>
      </c>
      <c r="BL12" t="e">
        <f>AND(#REF!,"AAAAAHdP+z8=")</f>
        <v>#REF!</v>
      </c>
      <c r="BM12" t="e">
        <f>AND(#REF!,"AAAAAHdP+0A=")</f>
        <v>#REF!</v>
      </c>
      <c r="BN12" t="e">
        <f>AND(#REF!,"AAAAAHdP+0E=")</f>
        <v>#REF!</v>
      </c>
      <c r="BO12" t="e">
        <f>AND(#REF!,"AAAAAHdP+0I=")</f>
        <v>#REF!</v>
      </c>
      <c r="BP12" t="e">
        <f>AND(#REF!,"AAAAAHdP+0M=")</f>
        <v>#REF!</v>
      </c>
      <c r="BQ12" t="e">
        <f>AND(#REF!,"AAAAAHdP+0Q=")</f>
        <v>#REF!</v>
      </c>
      <c r="BR12" t="e">
        <f>AND(#REF!,"AAAAAHdP+0U=")</f>
        <v>#REF!</v>
      </c>
      <c r="BS12" t="e">
        <f>AND(#REF!,"AAAAAHdP+0Y=")</f>
        <v>#REF!</v>
      </c>
      <c r="BT12" t="e">
        <f>AND(#REF!,"AAAAAHdP+0c=")</f>
        <v>#REF!</v>
      </c>
      <c r="BU12" t="e">
        <f>IF(#REF!,"AAAAAHdP+0g=",0)</f>
        <v>#REF!</v>
      </c>
      <c r="BV12" t="e">
        <f>AND(#REF!,"AAAAAHdP+0k=")</f>
        <v>#REF!</v>
      </c>
      <c r="BW12" t="e">
        <f>AND(#REF!,"AAAAAHdP+0o=")</f>
        <v>#REF!</v>
      </c>
      <c r="BX12" t="e">
        <f>AND(#REF!,"AAAAAHdP+0s=")</f>
        <v>#REF!</v>
      </c>
      <c r="BY12" t="e">
        <f>AND(#REF!,"AAAAAHdP+0w=")</f>
        <v>#REF!</v>
      </c>
      <c r="BZ12" t="e">
        <f>AND(#REF!,"AAAAAHdP+00=")</f>
        <v>#REF!</v>
      </c>
      <c r="CA12" t="e">
        <f>AND(#REF!,"AAAAAHdP+04=")</f>
        <v>#REF!</v>
      </c>
      <c r="CB12" t="e">
        <f>AND(#REF!,"AAAAAHdP+08=")</f>
        <v>#REF!</v>
      </c>
      <c r="CC12" t="e">
        <f>AND(#REF!,"AAAAAHdP+1A=")</f>
        <v>#REF!</v>
      </c>
      <c r="CD12" t="e">
        <f>AND(#REF!,"AAAAAHdP+1E=")</f>
        <v>#REF!</v>
      </c>
      <c r="CE12" t="e">
        <f>AND(#REF!,"AAAAAHdP+1I=")</f>
        <v>#REF!</v>
      </c>
      <c r="CF12" t="e">
        <f>AND(#REF!,"AAAAAHdP+1M=")</f>
        <v>#REF!</v>
      </c>
      <c r="CG12" t="e">
        <f>AND(#REF!,"AAAAAHdP+1Q=")</f>
        <v>#REF!</v>
      </c>
      <c r="CH12" t="e">
        <f>IF(#REF!,"AAAAAHdP+1U=",0)</f>
        <v>#REF!</v>
      </c>
      <c r="CI12" t="e">
        <f>AND(#REF!,"AAAAAHdP+1Y=")</f>
        <v>#REF!</v>
      </c>
      <c r="CJ12" t="e">
        <f>AND(#REF!,"AAAAAHdP+1c=")</f>
        <v>#REF!</v>
      </c>
      <c r="CK12" t="e">
        <f>AND(#REF!,"AAAAAHdP+1g=")</f>
        <v>#REF!</v>
      </c>
      <c r="CL12" t="e">
        <f>AND(#REF!,"AAAAAHdP+1k=")</f>
        <v>#REF!</v>
      </c>
      <c r="CM12" t="e">
        <f>AND(#REF!,"AAAAAHdP+1o=")</f>
        <v>#REF!</v>
      </c>
      <c r="CN12" t="e">
        <f>AND(#REF!,"AAAAAHdP+1s=")</f>
        <v>#REF!</v>
      </c>
      <c r="CO12" t="e">
        <f>AND(#REF!,"AAAAAHdP+1w=")</f>
        <v>#REF!</v>
      </c>
      <c r="CP12" t="e">
        <f>AND(#REF!,"AAAAAHdP+10=")</f>
        <v>#REF!</v>
      </c>
      <c r="CQ12" t="e">
        <f>AND(#REF!,"AAAAAHdP+14=")</f>
        <v>#REF!</v>
      </c>
      <c r="CR12" t="e">
        <f>AND(#REF!,"AAAAAHdP+18=")</f>
        <v>#REF!</v>
      </c>
      <c r="CS12" t="e">
        <f>AND(#REF!,"AAAAAHdP+2A=")</f>
        <v>#REF!</v>
      </c>
      <c r="CT12" t="e">
        <f>AND(#REF!,"AAAAAHdP+2E=")</f>
        <v>#REF!</v>
      </c>
      <c r="CU12" t="e">
        <f>IF(#REF!,"AAAAAHdP+2I=",0)</f>
        <v>#REF!</v>
      </c>
      <c r="CV12" t="e">
        <f>AND(#REF!,"AAAAAHdP+2M=")</f>
        <v>#REF!</v>
      </c>
      <c r="CW12" t="e">
        <f>AND(#REF!,"AAAAAHdP+2Q=")</f>
        <v>#REF!</v>
      </c>
      <c r="CX12" t="e">
        <f>AND(#REF!,"AAAAAHdP+2U=")</f>
        <v>#REF!</v>
      </c>
      <c r="CY12" t="e">
        <f>AND(#REF!,"AAAAAHdP+2Y=")</f>
        <v>#REF!</v>
      </c>
      <c r="CZ12" t="e">
        <f>AND(#REF!,"AAAAAHdP+2c=")</f>
        <v>#REF!</v>
      </c>
      <c r="DA12" t="e">
        <f>AND(#REF!,"AAAAAHdP+2g=")</f>
        <v>#REF!</v>
      </c>
      <c r="DB12" t="e">
        <f>AND(#REF!,"AAAAAHdP+2k=")</f>
        <v>#REF!</v>
      </c>
      <c r="DC12" t="e">
        <f>AND(#REF!,"AAAAAHdP+2o=")</f>
        <v>#REF!</v>
      </c>
      <c r="DD12" t="e">
        <f>AND(#REF!,"AAAAAHdP+2s=")</f>
        <v>#REF!</v>
      </c>
      <c r="DE12" t="e">
        <f>AND(#REF!,"AAAAAHdP+2w=")</f>
        <v>#REF!</v>
      </c>
      <c r="DF12" t="e">
        <f>AND(#REF!,"AAAAAHdP+20=")</f>
        <v>#REF!</v>
      </c>
      <c r="DG12" t="e">
        <f>AND(#REF!,"AAAAAHdP+24=")</f>
        <v>#REF!</v>
      </c>
      <c r="DH12" t="e">
        <f>IF(#REF!,"AAAAAHdP+28=",0)</f>
        <v>#REF!</v>
      </c>
      <c r="DI12" t="e">
        <f>AND(#REF!,"AAAAAHdP+3A=")</f>
        <v>#REF!</v>
      </c>
      <c r="DJ12" t="e">
        <f>AND(#REF!,"AAAAAHdP+3E=")</f>
        <v>#REF!</v>
      </c>
      <c r="DK12" t="e">
        <f>AND(#REF!,"AAAAAHdP+3I=")</f>
        <v>#REF!</v>
      </c>
      <c r="DL12" t="e">
        <f>AND(#REF!,"AAAAAHdP+3M=")</f>
        <v>#REF!</v>
      </c>
      <c r="DM12" t="e">
        <f>AND(#REF!,"AAAAAHdP+3Q=")</f>
        <v>#REF!</v>
      </c>
      <c r="DN12" t="e">
        <f>AND(#REF!,"AAAAAHdP+3U=")</f>
        <v>#REF!</v>
      </c>
      <c r="DO12" t="e">
        <f>AND(#REF!,"AAAAAHdP+3Y=")</f>
        <v>#REF!</v>
      </c>
      <c r="DP12" t="e">
        <f>AND(#REF!,"AAAAAHdP+3c=")</f>
        <v>#REF!</v>
      </c>
      <c r="DQ12" t="e">
        <f>AND(#REF!,"AAAAAHdP+3g=")</f>
        <v>#REF!</v>
      </c>
      <c r="DR12" t="e">
        <f>AND(#REF!,"AAAAAHdP+3k=")</f>
        <v>#REF!</v>
      </c>
      <c r="DS12" t="e">
        <f>AND(#REF!,"AAAAAHdP+3o=")</f>
        <v>#REF!</v>
      </c>
      <c r="DT12" t="e">
        <f>AND(#REF!,"AAAAAHdP+3s=")</f>
        <v>#REF!</v>
      </c>
      <c r="DU12" t="e">
        <f>IF(#REF!,"AAAAAHdP+3w=",0)</f>
        <v>#REF!</v>
      </c>
      <c r="DV12" t="e">
        <f>AND(#REF!,"AAAAAHdP+30=")</f>
        <v>#REF!</v>
      </c>
      <c r="DW12" t="e">
        <f>AND(#REF!,"AAAAAHdP+34=")</f>
        <v>#REF!</v>
      </c>
      <c r="DX12" t="e">
        <f>AND(#REF!,"AAAAAHdP+38=")</f>
        <v>#REF!</v>
      </c>
      <c r="DY12" t="e">
        <f>AND(#REF!,"AAAAAHdP+4A=")</f>
        <v>#REF!</v>
      </c>
      <c r="DZ12" t="e">
        <f>AND(#REF!,"AAAAAHdP+4E=")</f>
        <v>#REF!</v>
      </c>
      <c r="EA12" t="e">
        <f>AND(#REF!,"AAAAAHdP+4I=")</f>
        <v>#REF!</v>
      </c>
      <c r="EB12" t="e">
        <f>AND(#REF!,"AAAAAHdP+4M=")</f>
        <v>#REF!</v>
      </c>
      <c r="EC12" t="e">
        <f>AND(#REF!,"AAAAAHdP+4Q=")</f>
        <v>#REF!</v>
      </c>
      <c r="ED12" t="e">
        <f>AND(#REF!,"AAAAAHdP+4U=")</f>
        <v>#REF!</v>
      </c>
      <c r="EE12" t="e">
        <f>AND(#REF!,"AAAAAHdP+4Y=")</f>
        <v>#REF!</v>
      </c>
      <c r="EF12" t="e">
        <f>AND(#REF!,"AAAAAHdP+4c=")</f>
        <v>#REF!</v>
      </c>
      <c r="EG12" t="e">
        <f>AND(#REF!,"AAAAAHdP+4g=")</f>
        <v>#REF!</v>
      </c>
      <c r="EH12" t="e">
        <f>IF(#REF!,"AAAAAHdP+4k=",0)</f>
        <v>#REF!</v>
      </c>
      <c r="EI12" t="e">
        <f>AND(#REF!,"AAAAAHdP+4o=")</f>
        <v>#REF!</v>
      </c>
      <c r="EJ12" t="e">
        <f>AND(#REF!,"AAAAAHdP+4s=")</f>
        <v>#REF!</v>
      </c>
      <c r="EK12" t="e">
        <f>AND(#REF!,"AAAAAHdP+4w=")</f>
        <v>#REF!</v>
      </c>
      <c r="EL12" t="e">
        <f>AND(#REF!,"AAAAAHdP+40=")</f>
        <v>#REF!</v>
      </c>
      <c r="EM12" t="e">
        <f>AND(#REF!,"AAAAAHdP+44=")</f>
        <v>#REF!</v>
      </c>
      <c r="EN12" t="e">
        <f>AND(#REF!,"AAAAAHdP+48=")</f>
        <v>#REF!</v>
      </c>
      <c r="EO12" t="e">
        <f>AND(#REF!,"AAAAAHdP+5A=")</f>
        <v>#REF!</v>
      </c>
      <c r="EP12" t="e">
        <f>AND(#REF!,"AAAAAHdP+5E=")</f>
        <v>#REF!</v>
      </c>
      <c r="EQ12" t="e">
        <f>AND(#REF!,"AAAAAHdP+5I=")</f>
        <v>#REF!</v>
      </c>
      <c r="ER12" t="e">
        <f>AND(#REF!,"AAAAAHdP+5M=")</f>
        <v>#REF!</v>
      </c>
      <c r="ES12" t="e">
        <f>AND(#REF!,"AAAAAHdP+5Q=")</f>
        <v>#REF!</v>
      </c>
      <c r="ET12" t="e">
        <f>AND(#REF!,"AAAAAHdP+5U=")</f>
        <v>#REF!</v>
      </c>
      <c r="EU12" t="e">
        <f>IF(#REF!,"AAAAAHdP+5Y=",0)</f>
        <v>#REF!</v>
      </c>
      <c r="EV12" t="e">
        <f>AND(#REF!,"AAAAAHdP+5c=")</f>
        <v>#REF!</v>
      </c>
      <c r="EW12" t="e">
        <f>AND(#REF!,"AAAAAHdP+5g=")</f>
        <v>#REF!</v>
      </c>
      <c r="EX12" t="e">
        <f>AND(#REF!,"AAAAAHdP+5k=")</f>
        <v>#REF!</v>
      </c>
      <c r="EY12" t="e">
        <f>AND(#REF!,"AAAAAHdP+5o=")</f>
        <v>#REF!</v>
      </c>
      <c r="EZ12" t="e">
        <f>AND(#REF!,"AAAAAHdP+5s=")</f>
        <v>#REF!</v>
      </c>
      <c r="FA12" t="e">
        <f>AND(#REF!,"AAAAAHdP+5w=")</f>
        <v>#REF!</v>
      </c>
      <c r="FB12" t="e">
        <f>AND(#REF!,"AAAAAHdP+50=")</f>
        <v>#REF!</v>
      </c>
      <c r="FC12" t="e">
        <f>AND(#REF!,"AAAAAHdP+54=")</f>
        <v>#REF!</v>
      </c>
      <c r="FD12" t="e">
        <f>AND(#REF!,"AAAAAHdP+58=")</f>
        <v>#REF!</v>
      </c>
      <c r="FE12" t="e">
        <f>AND(#REF!,"AAAAAHdP+6A=")</f>
        <v>#REF!</v>
      </c>
      <c r="FF12" t="e">
        <f>AND(#REF!,"AAAAAHdP+6E=")</f>
        <v>#REF!</v>
      </c>
      <c r="FG12" t="e">
        <f>AND(#REF!,"AAAAAHdP+6I=")</f>
        <v>#REF!</v>
      </c>
      <c r="FH12" t="e">
        <f>IF(#REF!,"AAAAAHdP+6M=",0)</f>
        <v>#REF!</v>
      </c>
      <c r="FI12" t="e">
        <f>AND(#REF!,"AAAAAHdP+6Q=")</f>
        <v>#REF!</v>
      </c>
      <c r="FJ12" t="e">
        <f>AND(#REF!,"AAAAAHdP+6U=")</f>
        <v>#REF!</v>
      </c>
      <c r="FK12" t="e">
        <f>AND(#REF!,"AAAAAHdP+6Y=")</f>
        <v>#REF!</v>
      </c>
      <c r="FL12" t="e">
        <f>AND(#REF!,"AAAAAHdP+6c=")</f>
        <v>#REF!</v>
      </c>
      <c r="FM12" t="e">
        <f>AND(#REF!,"AAAAAHdP+6g=")</f>
        <v>#REF!</v>
      </c>
      <c r="FN12" t="e">
        <f>AND(#REF!,"AAAAAHdP+6k=")</f>
        <v>#REF!</v>
      </c>
      <c r="FO12" t="e">
        <f>AND(#REF!,"AAAAAHdP+6o=")</f>
        <v>#REF!</v>
      </c>
      <c r="FP12" t="e">
        <f>AND(#REF!,"AAAAAHdP+6s=")</f>
        <v>#REF!</v>
      </c>
      <c r="FQ12" t="e">
        <f>AND(#REF!,"AAAAAHdP+6w=")</f>
        <v>#REF!</v>
      </c>
      <c r="FR12" t="e">
        <f>AND(#REF!,"AAAAAHdP+60=")</f>
        <v>#REF!</v>
      </c>
      <c r="FS12" t="e">
        <f>AND(#REF!,"AAAAAHdP+64=")</f>
        <v>#REF!</v>
      </c>
      <c r="FT12" t="e">
        <f>AND(#REF!,"AAAAAHdP+68=")</f>
        <v>#REF!</v>
      </c>
      <c r="FU12" t="e">
        <f>IF(#REF!,"AAAAAHdP+7A=",0)</f>
        <v>#REF!</v>
      </c>
      <c r="FV12" t="e">
        <f>AND(#REF!,"AAAAAHdP+7E=")</f>
        <v>#REF!</v>
      </c>
      <c r="FW12" t="e">
        <f>AND(#REF!,"AAAAAHdP+7I=")</f>
        <v>#REF!</v>
      </c>
      <c r="FX12" t="e">
        <f>AND(#REF!,"AAAAAHdP+7M=")</f>
        <v>#REF!</v>
      </c>
      <c r="FY12" t="e">
        <f>AND(#REF!,"AAAAAHdP+7Q=")</f>
        <v>#REF!</v>
      </c>
      <c r="FZ12" t="e">
        <f>AND(#REF!,"AAAAAHdP+7U=")</f>
        <v>#REF!</v>
      </c>
      <c r="GA12" t="e">
        <f>AND(#REF!,"AAAAAHdP+7Y=")</f>
        <v>#REF!</v>
      </c>
      <c r="GB12" t="e">
        <f>AND(#REF!,"AAAAAHdP+7c=")</f>
        <v>#REF!</v>
      </c>
      <c r="GC12" t="e">
        <f>AND(#REF!,"AAAAAHdP+7g=")</f>
        <v>#REF!</v>
      </c>
      <c r="GD12" t="e">
        <f>AND(#REF!,"AAAAAHdP+7k=")</f>
        <v>#REF!</v>
      </c>
      <c r="GE12" t="e">
        <f>AND(#REF!,"AAAAAHdP+7o=")</f>
        <v>#REF!</v>
      </c>
      <c r="GF12" t="e">
        <f>AND(#REF!,"AAAAAHdP+7s=")</f>
        <v>#REF!</v>
      </c>
      <c r="GG12" t="e">
        <f>AND(#REF!,"AAAAAHdP+7w=")</f>
        <v>#REF!</v>
      </c>
      <c r="GH12" t="e">
        <f>IF(#REF!,"AAAAAHdP+70=",0)</f>
        <v>#REF!</v>
      </c>
      <c r="GI12" t="e">
        <f>AND(#REF!,"AAAAAHdP+74=")</f>
        <v>#REF!</v>
      </c>
      <c r="GJ12" t="e">
        <f>AND(#REF!,"AAAAAHdP+78=")</f>
        <v>#REF!</v>
      </c>
      <c r="GK12" t="e">
        <f>AND(#REF!,"AAAAAHdP+8A=")</f>
        <v>#REF!</v>
      </c>
      <c r="GL12" t="e">
        <f>AND(#REF!,"AAAAAHdP+8E=")</f>
        <v>#REF!</v>
      </c>
      <c r="GM12" t="e">
        <f>AND(#REF!,"AAAAAHdP+8I=")</f>
        <v>#REF!</v>
      </c>
      <c r="GN12" t="e">
        <f>AND(#REF!,"AAAAAHdP+8M=")</f>
        <v>#REF!</v>
      </c>
      <c r="GO12" t="e">
        <f>AND(#REF!,"AAAAAHdP+8Q=")</f>
        <v>#REF!</v>
      </c>
      <c r="GP12" t="e">
        <f>AND(#REF!,"AAAAAHdP+8U=")</f>
        <v>#REF!</v>
      </c>
      <c r="GQ12" t="e">
        <f>AND(#REF!,"AAAAAHdP+8Y=")</f>
        <v>#REF!</v>
      </c>
      <c r="GR12" t="e">
        <f>AND(#REF!,"AAAAAHdP+8c=")</f>
        <v>#REF!</v>
      </c>
      <c r="GS12" t="e">
        <f>AND(#REF!,"AAAAAHdP+8g=")</f>
        <v>#REF!</v>
      </c>
      <c r="GT12" t="e">
        <f>AND(#REF!,"AAAAAHdP+8k=")</f>
        <v>#REF!</v>
      </c>
      <c r="GU12" t="e">
        <f>IF(#REF!,"AAAAAHdP+8o=",0)</f>
        <v>#REF!</v>
      </c>
      <c r="GV12" t="e">
        <f>IF(#REF!,"AAAAAHdP+8s=",0)</f>
        <v>#REF!</v>
      </c>
      <c r="GW12" t="e">
        <f>IF(#REF!,"AAAAAHdP+8w=",0)</f>
        <v>#REF!</v>
      </c>
      <c r="GX12" t="e">
        <f>IF(#REF!,"AAAAAHdP+80=",0)</f>
        <v>#REF!</v>
      </c>
      <c r="GY12" t="e">
        <f>IF(#REF!,"AAAAAHdP+84=",0)</f>
        <v>#REF!</v>
      </c>
      <c r="GZ12" t="e">
        <f>IF(#REF!,"AAAAAHdP+88=",0)</f>
        <v>#REF!</v>
      </c>
      <c r="HA12" t="e">
        <f>IF(#REF!,"AAAAAHdP+9A=",0)</f>
        <v>#REF!</v>
      </c>
      <c r="HB12" t="e">
        <f>IF(#REF!,"AAAAAHdP+9E=",0)</f>
        <v>#REF!</v>
      </c>
      <c r="HC12" t="e">
        <f>IF(#REF!,"AAAAAHdP+9I=",0)</f>
        <v>#REF!</v>
      </c>
      <c r="HD12" t="e">
        <f>IF(#REF!,"AAAAAHdP+9M=",0)</f>
        <v>#REF!</v>
      </c>
      <c r="HE12" t="e">
        <f>IF(#REF!,"AAAAAHdP+9Q=",0)</f>
        <v>#REF!</v>
      </c>
      <c r="HF12" t="e">
        <f>IF(#REF!,"AAAAAHdP+9U=",0)</f>
        <v>#REF!</v>
      </c>
      <c r="HG12" t="e">
        <f>IF(#REF!,"AAAAAHdP+9Y=",0)</f>
        <v>#REF!</v>
      </c>
      <c r="HH12" t="e">
        <f>IF(#REF!,"AAAAAHdP+9c=",0)</f>
        <v>#REF!</v>
      </c>
      <c r="HI12" t="e">
        <f>IF(#REF!,"AAAAAHdP+9g=",0)</f>
        <v>#REF!</v>
      </c>
      <c r="HJ12" t="e">
        <f>IF(#REF!,"AAAAAHdP+9k=",0)</f>
        <v>#REF!</v>
      </c>
      <c r="HK12" t="e">
        <f>IF(#REF!,"AAAAAHdP+9o=",0)</f>
        <v>#REF!</v>
      </c>
      <c r="HL12" t="e">
        <f>IF(#REF!,"AAAAAHdP+9s=",0)</f>
        <v>#REF!</v>
      </c>
      <c r="HM12" t="e">
        <f>IF(#REF!,"AAAAAHdP+9w=",0)</f>
        <v>#REF!</v>
      </c>
      <c r="HN12" t="e">
        <f>IF(#REF!,"AAAAAHdP+90=",0)</f>
        <v>#REF!</v>
      </c>
      <c r="HO12" t="e">
        <f>IF(#REF!,"AAAAAHdP+94=",0)</f>
        <v>#REF!</v>
      </c>
      <c r="HP12" t="e">
        <f>IF(#REF!,"AAAAAHdP+98=",0)</f>
        <v>#REF!</v>
      </c>
      <c r="HQ12" t="e">
        <f>AND(#REF!,"AAAAAHdP++A=")</f>
        <v>#REF!</v>
      </c>
      <c r="HR12" t="e">
        <f>AND(#REF!,"AAAAAHdP++E=")</f>
        <v>#REF!</v>
      </c>
      <c r="HS12" t="e">
        <f>AND(#REF!,"AAAAAHdP++I=")</f>
        <v>#REF!</v>
      </c>
      <c r="HT12" t="e">
        <f>AND(#REF!,"AAAAAHdP++M=")</f>
        <v>#REF!</v>
      </c>
      <c r="HU12" t="e">
        <f>AND(#REF!,"AAAAAHdP++Q=")</f>
        <v>#REF!</v>
      </c>
      <c r="HV12" t="e">
        <f>AND(#REF!,"AAAAAHdP++U=")</f>
        <v>#REF!</v>
      </c>
      <c r="HW12" t="e">
        <f>AND(#REF!,"AAAAAHdP++Y=")</f>
        <v>#REF!</v>
      </c>
      <c r="HX12" t="e">
        <f>AND(#REF!,"AAAAAHdP++c=")</f>
        <v>#REF!</v>
      </c>
      <c r="HY12" t="e">
        <f>AND(#REF!,"AAAAAHdP++g=")</f>
        <v>#REF!</v>
      </c>
      <c r="HZ12" t="e">
        <f>AND(#REF!,"AAAAAHdP++k=")</f>
        <v>#REF!</v>
      </c>
      <c r="IA12" t="e">
        <f>AND(#REF!,"AAAAAHdP++o=")</f>
        <v>#REF!</v>
      </c>
      <c r="IB12" t="e">
        <f>AND(#REF!,"AAAAAHdP++s=")</f>
        <v>#REF!</v>
      </c>
      <c r="IC12" t="e">
        <f>IF(#REF!,"AAAAAHdP++w=",0)</f>
        <v>#REF!</v>
      </c>
      <c r="ID12" t="e">
        <f>AND(#REF!,"AAAAAHdP++0=")</f>
        <v>#REF!</v>
      </c>
      <c r="IE12" t="e">
        <f>AND(#REF!,"AAAAAHdP++4=")</f>
        <v>#REF!</v>
      </c>
      <c r="IF12" t="e">
        <f>AND(#REF!,"AAAAAHdP++8=")</f>
        <v>#REF!</v>
      </c>
      <c r="IG12" t="e">
        <f>AND(#REF!,"AAAAAHdP+/A=")</f>
        <v>#REF!</v>
      </c>
      <c r="IH12" t="e">
        <f>AND(#REF!,"AAAAAHdP+/E=")</f>
        <v>#REF!</v>
      </c>
      <c r="II12" t="e">
        <f>AND(#REF!,"AAAAAHdP+/I=")</f>
        <v>#REF!</v>
      </c>
      <c r="IJ12" t="e">
        <f>AND(#REF!,"AAAAAHdP+/M=")</f>
        <v>#REF!</v>
      </c>
      <c r="IK12" t="e">
        <f>AND(#REF!,"AAAAAHdP+/Q=")</f>
        <v>#REF!</v>
      </c>
      <c r="IL12" t="e">
        <f>AND(#REF!,"AAAAAHdP+/U=")</f>
        <v>#REF!</v>
      </c>
      <c r="IM12" t="e">
        <f>AND(#REF!,"AAAAAHdP+/Y=")</f>
        <v>#REF!</v>
      </c>
      <c r="IN12" t="e">
        <f>AND(#REF!,"AAAAAHdP+/c=")</f>
        <v>#REF!</v>
      </c>
      <c r="IO12" t="e">
        <f>AND(#REF!,"AAAAAHdP+/g=")</f>
        <v>#REF!</v>
      </c>
      <c r="IP12" t="e">
        <f>IF(#REF!,"AAAAAHdP+/k=",0)</f>
        <v>#REF!</v>
      </c>
      <c r="IQ12" t="e">
        <f>AND(#REF!,"AAAAAHdP+/o=")</f>
        <v>#REF!</v>
      </c>
      <c r="IR12" t="e">
        <f>AND(#REF!,"AAAAAHdP+/s=")</f>
        <v>#REF!</v>
      </c>
      <c r="IS12" t="e">
        <f>AND(#REF!,"AAAAAHdP+/w=")</f>
        <v>#REF!</v>
      </c>
      <c r="IT12" t="e">
        <f>AND(#REF!,"AAAAAHdP+/0=")</f>
        <v>#REF!</v>
      </c>
      <c r="IU12" t="e">
        <f>AND(#REF!,"AAAAAHdP+/4=")</f>
        <v>#REF!</v>
      </c>
      <c r="IV12" t="e">
        <f>AND(#REF!,"AAAAAHdP+/8=")</f>
        <v>#REF!</v>
      </c>
    </row>
    <row r="13" spans="1:256" x14ac:dyDescent="0.25">
      <c r="A13" t="e">
        <f>AND(#REF!,"AAAAAG5bvQA=")</f>
        <v>#REF!</v>
      </c>
      <c r="B13" t="e">
        <f>AND(#REF!,"AAAAAG5bvQE=")</f>
        <v>#REF!</v>
      </c>
      <c r="C13" t="e">
        <f>AND(#REF!,"AAAAAG5bvQI=")</f>
        <v>#REF!</v>
      </c>
      <c r="D13" t="e">
        <f>AND(#REF!,"AAAAAG5bvQM=")</f>
        <v>#REF!</v>
      </c>
      <c r="E13" t="e">
        <f>AND(#REF!,"AAAAAG5bvQQ=")</f>
        <v>#REF!</v>
      </c>
      <c r="F13" t="e">
        <f>AND(#REF!,"AAAAAG5bvQU=")</f>
        <v>#REF!</v>
      </c>
      <c r="G13" t="e">
        <f>IF(#REF!,"AAAAAG5bvQY=",0)</f>
        <v>#REF!</v>
      </c>
      <c r="H13" t="e">
        <f>AND(#REF!,"AAAAAG5bvQc=")</f>
        <v>#REF!</v>
      </c>
      <c r="I13" t="e">
        <f>AND(#REF!,"AAAAAG5bvQg=")</f>
        <v>#REF!</v>
      </c>
      <c r="J13" t="e">
        <f>AND(#REF!,"AAAAAG5bvQk=")</f>
        <v>#REF!</v>
      </c>
      <c r="K13" t="e">
        <f>AND(#REF!,"AAAAAG5bvQo=")</f>
        <v>#REF!</v>
      </c>
      <c r="L13" t="e">
        <f>AND(#REF!,"AAAAAG5bvQs=")</f>
        <v>#REF!</v>
      </c>
      <c r="M13" t="e">
        <f>AND(#REF!,"AAAAAG5bvQw=")</f>
        <v>#REF!</v>
      </c>
      <c r="N13" t="e">
        <f>AND(#REF!,"AAAAAG5bvQ0=")</f>
        <v>#REF!</v>
      </c>
      <c r="O13" t="e">
        <f>AND(#REF!,"AAAAAG5bvQ4=")</f>
        <v>#REF!</v>
      </c>
      <c r="P13" t="e">
        <f>AND(#REF!,"AAAAAG5bvQ8=")</f>
        <v>#REF!</v>
      </c>
      <c r="Q13" t="e">
        <f>AND(#REF!,"AAAAAG5bvRA=")</f>
        <v>#REF!</v>
      </c>
      <c r="R13" t="e">
        <f>AND(#REF!,"AAAAAG5bvRE=")</f>
        <v>#REF!</v>
      </c>
      <c r="S13" t="e">
        <f>AND(#REF!,"AAAAAG5bvRI=")</f>
        <v>#REF!</v>
      </c>
      <c r="T13" t="e">
        <f>IF(#REF!,"AAAAAG5bvRM=",0)</f>
        <v>#REF!</v>
      </c>
      <c r="U13" t="e">
        <f>AND(#REF!,"AAAAAG5bvRQ=")</f>
        <v>#REF!</v>
      </c>
      <c r="V13" t="e">
        <f>AND(#REF!,"AAAAAG5bvRU=")</f>
        <v>#REF!</v>
      </c>
      <c r="W13" t="e">
        <f>AND(#REF!,"AAAAAG5bvRY=")</f>
        <v>#REF!</v>
      </c>
      <c r="X13" t="e">
        <f>AND(#REF!,"AAAAAG5bvRc=")</f>
        <v>#REF!</v>
      </c>
      <c r="Y13" t="e">
        <f>AND(#REF!,"AAAAAG5bvRg=")</f>
        <v>#REF!</v>
      </c>
      <c r="Z13" t="e">
        <f>AND(#REF!,"AAAAAG5bvRk=")</f>
        <v>#REF!</v>
      </c>
      <c r="AA13" t="e">
        <f>AND(#REF!,"AAAAAG5bvRo=")</f>
        <v>#REF!</v>
      </c>
      <c r="AB13" t="e">
        <f>AND(#REF!,"AAAAAG5bvRs=")</f>
        <v>#REF!</v>
      </c>
      <c r="AC13" t="e">
        <f>AND(#REF!,"AAAAAG5bvRw=")</f>
        <v>#REF!</v>
      </c>
      <c r="AD13" t="e">
        <f>AND(#REF!,"AAAAAG5bvR0=")</f>
        <v>#REF!</v>
      </c>
      <c r="AE13" t="e">
        <f>AND(#REF!,"AAAAAG5bvR4=")</f>
        <v>#REF!</v>
      </c>
      <c r="AF13" t="e">
        <f>AND(#REF!,"AAAAAG5bvR8=")</f>
        <v>#REF!</v>
      </c>
      <c r="AG13" t="e">
        <f>IF(#REF!,"AAAAAG5bvSA=",0)</f>
        <v>#REF!</v>
      </c>
      <c r="AH13" t="e">
        <f>AND(#REF!,"AAAAAG5bvSE=")</f>
        <v>#REF!</v>
      </c>
      <c r="AI13" t="e">
        <f>AND(#REF!,"AAAAAG5bvSI=")</f>
        <v>#REF!</v>
      </c>
      <c r="AJ13" t="e">
        <f>AND(#REF!,"AAAAAG5bvSM=")</f>
        <v>#REF!</v>
      </c>
      <c r="AK13" t="e">
        <f>AND(#REF!,"AAAAAG5bvSQ=")</f>
        <v>#REF!</v>
      </c>
      <c r="AL13" t="e">
        <f>AND(#REF!,"AAAAAG5bvSU=")</f>
        <v>#REF!</v>
      </c>
      <c r="AM13" t="e">
        <f>AND(#REF!,"AAAAAG5bvSY=")</f>
        <v>#REF!</v>
      </c>
      <c r="AN13" t="e">
        <f>AND(#REF!,"AAAAAG5bvSc=")</f>
        <v>#REF!</v>
      </c>
      <c r="AO13" t="e">
        <f>AND(#REF!,"AAAAAG5bvSg=")</f>
        <v>#REF!</v>
      </c>
      <c r="AP13" t="e">
        <f>AND(#REF!,"AAAAAG5bvSk=")</f>
        <v>#REF!</v>
      </c>
      <c r="AQ13" t="e">
        <f>AND(#REF!,"AAAAAG5bvSo=")</f>
        <v>#REF!</v>
      </c>
      <c r="AR13" t="e">
        <f>AND(#REF!,"AAAAAG5bvSs=")</f>
        <v>#REF!</v>
      </c>
      <c r="AS13" t="e">
        <f>AND(#REF!,"AAAAAG5bvSw=")</f>
        <v>#REF!</v>
      </c>
      <c r="AT13" t="e">
        <f>IF(#REF!,"AAAAAG5bvS0=",0)</f>
        <v>#REF!</v>
      </c>
      <c r="AU13" t="e">
        <f>AND(#REF!,"AAAAAG5bvS4=")</f>
        <v>#REF!</v>
      </c>
      <c r="AV13" t="e">
        <f>AND(#REF!,"AAAAAG5bvS8=")</f>
        <v>#REF!</v>
      </c>
      <c r="AW13" t="e">
        <f>AND(#REF!,"AAAAAG5bvTA=")</f>
        <v>#REF!</v>
      </c>
      <c r="AX13" t="e">
        <f>AND(#REF!,"AAAAAG5bvTE=")</f>
        <v>#REF!</v>
      </c>
      <c r="AY13" t="e">
        <f>AND(#REF!,"AAAAAG5bvTI=")</f>
        <v>#REF!</v>
      </c>
      <c r="AZ13" t="e">
        <f>AND(#REF!,"AAAAAG5bvTM=")</f>
        <v>#REF!</v>
      </c>
      <c r="BA13" t="e">
        <f>AND(#REF!,"AAAAAG5bvTQ=")</f>
        <v>#REF!</v>
      </c>
      <c r="BB13" t="e">
        <f>AND(#REF!,"AAAAAG5bvTU=")</f>
        <v>#REF!</v>
      </c>
      <c r="BC13" t="e">
        <f>AND(#REF!,"AAAAAG5bvTY=")</f>
        <v>#REF!</v>
      </c>
      <c r="BD13" t="e">
        <f>AND(#REF!,"AAAAAG5bvTc=")</f>
        <v>#REF!</v>
      </c>
      <c r="BE13" t="e">
        <f>AND(#REF!,"AAAAAG5bvTg=")</f>
        <v>#REF!</v>
      </c>
      <c r="BF13" t="e">
        <f>AND(#REF!,"AAAAAG5bvTk=")</f>
        <v>#REF!</v>
      </c>
      <c r="BG13" t="e">
        <f>IF(#REF!,"AAAAAG5bvTo=",0)</f>
        <v>#REF!</v>
      </c>
      <c r="BH13" t="e">
        <f>AND(#REF!,"AAAAAG5bvTs=")</f>
        <v>#REF!</v>
      </c>
      <c r="BI13" t="e">
        <f>AND(#REF!,"AAAAAG5bvTw=")</f>
        <v>#REF!</v>
      </c>
      <c r="BJ13" t="e">
        <f>AND(#REF!,"AAAAAG5bvT0=")</f>
        <v>#REF!</v>
      </c>
      <c r="BK13" t="e">
        <f>AND(#REF!,"AAAAAG5bvT4=")</f>
        <v>#REF!</v>
      </c>
      <c r="BL13" t="e">
        <f>AND(#REF!,"AAAAAG5bvT8=")</f>
        <v>#REF!</v>
      </c>
      <c r="BM13" t="e">
        <f>AND(#REF!,"AAAAAG5bvUA=")</f>
        <v>#REF!</v>
      </c>
      <c r="BN13" t="e">
        <f>AND(#REF!,"AAAAAG5bvUE=")</f>
        <v>#REF!</v>
      </c>
      <c r="BO13" t="e">
        <f>AND(#REF!,"AAAAAG5bvUI=")</f>
        <v>#REF!</v>
      </c>
      <c r="BP13" t="e">
        <f>AND(#REF!,"AAAAAG5bvUM=")</f>
        <v>#REF!</v>
      </c>
      <c r="BQ13" t="e">
        <f>AND(#REF!,"AAAAAG5bvUQ=")</f>
        <v>#REF!</v>
      </c>
      <c r="BR13" t="e">
        <f>AND(#REF!,"AAAAAG5bvUU=")</f>
        <v>#REF!</v>
      </c>
      <c r="BS13" t="e">
        <f>AND(#REF!,"AAAAAG5bvUY=")</f>
        <v>#REF!</v>
      </c>
      <c r="BT13" t="e">
        <f>IF(#REF!,"AAAAAG5bvUc=",0)</f>
        <v>#REF!</v>
      </c>
      <c r="BU13" t="e">
        <f>AND(#REF!,"AAAAAG5bvUg=")</f>
        <v>#REF!</v>
      </c>
      <c r="BV13" t="e">
        <f>AND(#REF!,"AAAAAG5bvUk=")</f>
        <v>#REF!</v>
      </c>
      <c r="BW13" t="e">
        <f>AND(#REF!,"AAAAAG5bvUo=")</f>
        <v>#REF!</v>
      </c>
      <c r="BX13" t="e">
        <f>AND(#REF!,"AAAAAG5bvUs=")</f>
        <v>#REF!</v>
      </c>
      <c r="BY13" t="e">
        <f>AND(#REF!,"AAAAAG5bvUw=")</f>
        <v>#REF!</v>
      </c>
      <c r="BZ13" t="e">
        <f>AND(#REF!,"AAAAAG5bvU0=")</f>
        <v>#REF!</v>
      </c>
      <c r="CA13" t="e">
        <f>AND(#REF!,"AAAAAG5bvU4=")</f>
        <v>#REF!</v>
      </c>
      <c r="CB13" t="e">
        <f>AND(#REF!,"AAAAAG5bvU8=")</f>
        <v>#REF!</v>
      </c>
      <c r="CC13" t="e">
        <f>AND(#REF!,"AAAAAG5bvVA=")</f>
        <v>#REF!</v>
      </c>
      <c r="CD13" t="e">
        <f>AND(#REF!,"AAAAAG5bvVE=")</f>
        <v>#REF!</v>
      </c>
      <c r="CE13" t="e">
        <f>AND(#REF!,"AAAAAG5bvVI=")</f>
        <v>#REF!</v>
      </c>
      <c r="CF13" t="e">
        <f>AND(#REF!,"AAAAAG5bvVM=")</f>
        <v>#REF!</v>
      </c>
      <c r="CG13" t="e">
        <f>IF(#REF!,"AAAAAG5bvVQ=",0)</f>
        <v>#REF!</v>
      </c>
      <c r="CH13" t="e">
        <f>AND(#REF!,"AAAAAG5bvVU=")</f>
        <v>#REF!</v>
      </c>
      <c r="CI13" t="e">
        <f>AND(#REF!,"AAAAAG5bvVY=")</f>
        <v>#REF!</v>
      </c>
      <c r="CJ13" t="e">
        <f>AND(#REF!,"AAAAAG5bvVc=")</f>
        <v>#REF!</v>
      </c>
      <c r="CK13" t="e">
        <f>AND(#REF!,"AAAAAG5bvVg=")</f>
        <v>#REF!</v>
      </c>
      <c r="CL13" t="e">
        <f>AND(#REF!,"AAAAAG5bvVk=")</f>
        <v>#REF!</v>
      </c>
      <c r="CM13" t="e">
        <f>AND(#REF!,"AAAAAG5bvVo=")</f>
        <v>#REF!</v>
      </c>
      <c r="CN13" t="e">
        <f>AND(#REF!,"AAAAAG5bvVs=")</f>
        <v>#REF!</v>
      </c>
      <c r="CO13" t="e">
        <f>AND(#REF!,"AAAAAG5bvVw=")</f>
        <v>#REF!</v>
      </c>
      <c r="CP13" t="e">
        <f>AND(#REF!,"AAAAAG5bvV0=")</f>
        <v>#REF!</v>
      </c>
      <c r="CQ13" t="e">
        <f>AND(#REF!,"AAAAAG5bvV4=")</f>
        <v>#REF!</v>
      </c>
      <c r="CR13" t="e">
        <f>AND(#REF!,"AAAAAG5bvV8=")</f>
        <v>#REF!</v>
      </c>
      <c r="CS13" t="e">
        <f>AND(#REF!,"AAAAAG5bvWA=")</f>
        <v>#REF!</v>
      </c>
      <c r="CT13" t="e">
        <f>IF(#REF!,"AAAAAG5bvWE=",0)</f>
        <v>#REF!</v>
      </c>
      <c r="CU13" t="e">
        <f>AND(#REF!,"AAAAAG5bvWI=")</f>
        <v>#REF!</v>
      </c>
      <c r="CV13" t="e">
        <f>AND(#REF!,"AAAAAG5bvWM=")</f>
        <v>#REF!</v>
      </c>
      <c r="CW13" t="e">
        <f>AND(#REF!,"AAAAAG5bvWQ=")</f>
        <v>#REF!</v>
      </c>
      <c r="CX13" t="e">
        <f>AND(#REF!,"AAAAAG5bvWU=")</f>
        <v>#REF!</v>
      </c>
      <c r="CY13" t="e">
        <f>AND(#REF!,"AAAAAG5bvWY=")</f>
        <v>#REF!</v>
      </c>
      <c r="CZ13" t="e">
        <f>AND(#REF!,"AAAAAG5bvWc=")</f>
        <v>#REF!</v>
      </c>
      <c r="DA13" t="e">
        <f>AND(#REF!,"AAAAAG5bvWg=")</f>
        <v>#REF!</v>
      </c>
      <c r="DB13" t="e">
        <f>AND(#REF!,"AAAAAG5bvWk=")</f>
        <v>#REF!</v>
      </c>
      <c r="DC13" t="e">
        <f>AND(#REF!,"AAAAAG5bvWo=")</f>
        <v>#REF!</v>
      </c>
      <c r="DD13" t="e">
        <f>AND(#REF!,"AAAAAG5bvWs=")</f>
        <v>#REF!</v>
      </c>
      <c r="DE13" t="e">
        <f>AND(#REF!,"AAAAAG5bvWw=")</f>
        <v>#REF!</v>
      </c>
      <c r="DF13" t="e">
        <f>AND(#REF!,"AAAAAG5bvW0=")</f>
        <v>#REF!</v>
      </c>
      <c r="DG13" t="e">
        <f>IF(#REF!,"AAAAAG5bvW4=",0)</f>
        <v>#REF!</v>
      </c>
      <c r="DH13" t="e">
        <f>AND(#REF!,"AAAAAG5bvW8=")</f>
        <v>#REF!</v>
      </c>
      <c r="DI13" t="e">
        <f>AND(#REF!,"AAAAAG5bvXA=")</f>
        <v>#REF!</v>
      </c>
      <c r="DJ13" t="e">
        <f>AND(#REF!,"AAAAAG5bvXE=")</f>
        <v>#REF!</v>
      </c>
      <c r="DK13" t="e">
        <f>AND(#REF!,"AAAAAG5bvXI=")</f>
        <v>#REF!</v>
      </c>
      <c r="DL13" t="e">
        <f>AND(#REF!,"AAAAAG5bvXM=")</f>
        <v>#REF!</v>
      </c>
      <c r="DM13" t="e">
        <f>AND(#REF!,"AAAAAG5bvXQ=")</f>
        <v>#REF!</v>
      </c>
      <c r="DN13" t="e">
        <f>AND(#REF!,"AAAAAG5bvXU=")</f>
        <v>#REF!</v>
      </c>
      <c r="DO13" t="e">
        <f>AND(#REF!,"AAAAAG5bvXY=")</f>
        <v>#REF!</v>
      </c>
      <c r="DP13" t="e">
        <f>AND(#REF!,"AAAAAG5bvXc=")</f>
        <v>#REF!</v>
      </c>
      <c r="DQ13" t="e">
        <f>AND(#REF!,"AAAAAG5bvXg=")</f>
        <v>#REF!</v>
      </c>
      <c r="DR13" t="e">
        <f>AND(#REF!,"AAAAAG5bvXk=")</f>
        <v>#REF!</v>
      </c>
      <c r="DS13" t="e">
        <f>AND(#REF!,"AAAAAG5bvXo=")</f>
        <v>#REF!</v>
      </c>
      <c r="DT13" t="e">
        <f>IF(#REF!,"AAAAAG5bvXs=",0)</f>
        <v>#REF!</v>
      </c>
      <c r="DU13" t="e">
        <f>AND(#REF!,"AAAAAG5bvXw=")</f>
        <v>#REF!</v>
      </c>
      <c r="DV13" t="e">
        <f>AND(#REF!,"AAAAAG5bvX0=")</f>
        <v>#REF!</v>
      </c>
      <c r="DW13" t="e">
        <f>AND(#REF!,"AAAAAG5bvX4=")</f>
        <v>#REF!</v>
      </c>
      <c r="DX13" t="e">
        <f>AND(#REF!,"AAAAAG5bvX8=")</f>
        <v>#REF!</v>
      </c>
      <c r="DY13" t="e">
        <f>AND(#REF!,"AAAAAG5bvYA=")</f>
        <v>#REF!</v>
      </c>
      <c r="DZ13" t="e">
        <f>AND(#REF!,"AAAAAG5bvYE=")</f>
        <v>#REF!</v>
      </c>
      <c r="EA13" t="e">
        <f>AND(#REF!,"AAAAAG5bvYI=")</f>
        <v>#REF!</v>
      </c>
      <c r="EB13" t="e">
        <f>AND(#REF!,"AAAAAG5bvYM=")</f>
        <v>#REF!</v>
      </c>
      <c r="EC13" t="e">
        <f>AND(#REF!,"AAAAAG5bvYQ=")</f>
        <v>#REF!</v>
      </c>
      <c r="ED13" t="e">
        <f>AND(#REF!,"AAAAAG5bvYU=")</f>
        <v>#REF!</v>
      </c>
      <c r="EE13" t="e">
        <f>AND(#REF!,"AAAAAG5bvYY=")</f>
        <v>#REF!</v>
      </c>
      <c r="EF13" t="e">
        <f>AND(#REF!,"AAAAAG5bvYc=")</f>
        <v>#REF!</v>
      </c>
      <c r="EG13" t="e">
        <f>IF(#REF!,"AAAAAG5bvYg=",0)</f>
        <v>#REF!</v>
      </c>
      <c r="EH13" t="e">
        <f>AND(#REF!,"AAAAAG5bvYk=")</f>
        <v>#REF!</v>
      </c>
      <c r="EI13" t="e">
        <f>AND(#REF!,"AAAAAG5bvYo=")</f>
        <v>#REF!</v>
      </c>
      <c r="EJ13" t="e">
        <f>AND(#REF!,"AAAAAG5bvYs=")</f>
        <v>#REF!</v>
      </c>
      <c r="EK13" t="e">
        <f>AND(#REF!,"AAAAAG5bvYw=")</f>
        <v>#REF!</v>
      </c>
      <c r="EL13" t="e">
        <f>AND(#REF!,"AAAAAG5bvY0=")</f>
        <v>#REF!</v>
      </c>
      <c r="EM13" t="e">
        <f>AND(#REF!,"AAAAAG5bvY4=")</f>
        <v>#REF!</v>
      </c>
      <c r="EN13" t="e">
        <f>AND(#REF!,"AAAAAG5bvY8=")</f>
        <v>#REF!</v>
      </c>
      <c r="EO13" t="e">
        <f>AND(#REF!,"AAAAAG5bvZA=")</f>
        <v>#REF!</v>
      </c>
      <c r="EP13" t="e">
        <f>AND(#REF!,"AAAAAG5bvZE=")</f>
        <v>#REF!</v>
      </c>
      <c r="EQ13" t="e">
        <f>AND(#REF!,"AAAAAG5bvZI=")</f>
        <v>#REF!</v>
      </c>
      <c r="ER13" t="e">
        <f>AND(#REF!,"AAAAAG5bvZM=")</f>
        <v>#REF!</v>
      </c>
      <c r="ES13" t="e">
        <f>AND(#REF!,"AAAAAG5bvZQ=")</f>
        <v>#REF!</v>
      </c>
      <c r="ET13" t="e">
        <f>IF(#REF!,"AAAAAG5bvZU=",0)</f>
        <v>#REF!</v>
      </c>
      <c r="EU13" t="e">
        <f>AND(#REF!,"AAAAAG5bvZY=")</f>
        <v>#REF!</v>
      </c>
      <c r="EV13" t="e">
        <f>AND(#REF!,"AAAAAG5bvZc=")</f>
        <v>#REF!</v>
      </c>
      <c r="EW13" t="e">
        <f>AND(#REF!,"AAAAAG5bvZg=")</f>
        <v>#REF!</v>
      </c>
      <c r="EX13" t="e">
        <f>AND(#REF!,"AAAAAG5bvZk=")</f>
        <v>#REF!</v>
      </c>
      <c r="EY13" t="e">
        <f>AND(#REF!,"AAAAAG5bvZo=")</f>
        <v>#REF!</v>
      </c>
      <c r="EZ13" t="e">
        <f>AND(#REF!,"AAAAAG5bvZs=")</f>
        <v>#REF!</v>
      </c>
      <c r="FA13" t="e">
        <f>AND(#REF!,"AAAAAG5bvZw=")</f>
        <v>#REF!</v>
      </c>
      <c r="FB13" t="e">
        <f>AND(#REF!,"AAAAAG5bvZ0=")</f>
        <v>#REF!</v>
      </c>
      <c r="FC13" t="e">
        <f>AND(#REF!,"AAAAAG5bvZ4=")</f>
        <v>#REF!</v>
      </c>
      <c r="FD13" t="e">
        <f>AND(#REF!,"AAAAAG5bvZ8=")</f>
        <v>#REF!</v>
      </c>
      <c r="FE13" t="e">
        <f>AND(#REF!,"AAAAAG5bvaA=")</f>
        <v>#REF!</v>
      </c>
      <c r="FF13" t="e">
        <f>AND(#REF!,"AAAAAG5bvaE=")</f>
        <v>#REF!</v>
      </c>
      <c r="FG13" t="e">
        <f>IF(#REF!,"AAAAAG5bvaI=",0)</f>
        <v>#REF!</v>
      </c>
      <c r="FH13" t="e">
        <f>AND(#REF!,"AAAAAG5bvaM=")</f>
        <v>#REF!</v>
      </c>
      <c r="FI13" t="e">
        <f>AND(#REF!,"AAAAAG5bvaQ=")</f>
        <v>#REF!</v>
      </c>
      <c r="FJ13" t="e">
        <f>AND(#REF!,"AAAAAG5bvaU=")</f>
        <v>#REF!</v>
      </c>
      <c r="FK13" t="e">
        <f>AND(#REF!,"AAAAAG5bvaY=")</f>
        <v>#REF!</v>
      </c>
      <c r="FL13" t="e">
        <f>AND(#REF!,"AAAAAG5bvac=")</f>
        <v>#REF!</v>
      </c>
      <c r="FM13" t="e">
        <f>AND(#REF!,"AAAAAG5bvag=")</f>
        <v>#REF!</v>
      </c>
      <c r="FN13" t="e">
        <f>AND(#REF!,"AAAAAG5bvak=")</f>
        <v>#REF!</v>
      </c>
      <c r="FO13" t="e">
        <f>AND(#REF!,"AAAAAG5bvao=")</f>
        <v>#REF!</v>
      </c>
      <c r="FP13" t="e">
        <f>AND(#REF!,"AAAAAG5bvas=")</f>
        <v>#REF!</v>
      </c>
      <c r="FQ13" t="e">
        <f>AND(#REF!,"AAAAAG5bvaw=")</f>
        <v>#REF!</v>
      </c>
      <c r="FR13" t="e">
        <f>AND(#REF!,"AAAAAG5bva0=")</f>
        <v>#REF!</v>
      </c>
      <c r="FS13" t="e">
        <f>AND(#REF!,"AAAAAG5bva4=")</f>
        <v>#REF!</v>
      </c>
      <c r="FT13" t="e">
        <f>IF(#REF!,"AAAAAG5bva8=",0)</f>
        <v>#REF!</v>
      </c>
      <c r="FU13" t="e">
        <f>AND(#REF!,"AAAAAG5bvbA=")</f>
        <v>#REF!</v>
      </c>
      <c r="FV13" t="e">
        <f>AND(#REF!,"AAAAAG5bvbE=")</f>
        <v>#REF!</v>
      </c>
      <c r="FW13" t="e">
        <f>AND(#REF!,"AAAAAG5bvbI=")</f>
        <v>#REF!</v>
      </c>
      <c r="FX13" t="e">
        <f>AND(#REF!,"AAAAAG5bvbM=")</f>
        <v>#REF!</v>
      </c>
      <c r="FY13" t="e">
        <f>AND(#REF!,"AAAAAG5bvbQ=")</f>
        <v>#REF!</v>
      </c>
      <c r="FZ13" t="e">
        <f>AND(#REF!,"AAAAAG5bvbU=")</f>
        <v>#REF!</v>
      </c>
      <c r="GA13" t="e">
        <f>AND(#REF!,"AAAAAG5bvbY=")</f>
        <v>#REF!</v>
      </c>
      <c r="GB13" t="e">
        <f>AND(#REF!,"AAAAAG5bvbc=")</f>
        <v>#REF!</v>
      </c>
      <c r="GC13" t="e">
        <f>AND(#REF!,"AAAAAG5bvbg=")</f>
        <v>#REF!</v>
      </c>
      <c r="GD13" t="e">
        <f>AND(#REF!,"AAAAAG5bvbk=")</f>
        <v>#REF!</v>
      </c>
      <c r="GE13" t="e">
        <f>AND(#REF!,"AAAAAG5bvbo=")</f>
        <v>#REF!</v>
      </c>
      <c r="GF13" t="e">
        <f>AND(#REF!,"AAAAAG5bvbs=")</f>
        <v>#REF!</v>
      </c>
      <c r="GG13" t="e">
        <f>IF(#REF!,"AAAAAG5bvbw=",0)</f>
        <v>#REF!</v>
      </c>
      <c r="GH13" t="e">
        <f>AND(#REF!,"AAAAAG5bvb0=")</f>
        <v>#REF!</v>
      </c>
      <c r="GI13" t="e">
        <f>AND(#REF!,"AAAAAG5bvb4=")</f>
        <v>#REF!</v>
      </c>
      <c r="GJ13" t="e">
        <f>AND(#REF!,"AAAAAG5bvb8=")</f>
        <v>#REF!</v>
      </c>
      <c r="GK13" t="e">
        <f>AND(#REF!,"AAAAAG5bvcA=")</f>
        <v>#REF!</v>
      </c>
      <c r="GL13" t="e">
        <f>AND(#REF!,"AAAAAG5bvcE=")</f>
        <v>#REF!</v>
      </c>
      <c r="GM13" t="e">
        <f>AND(#REF!,"AAAAAG5bvcI=")</f>
        <v>#REF!</v>
      </c>
      <c r="GN13" t="e">
        <f>AND(#REF!,"AAAAAG5bvcM=")</f>
        <v>#REF!</v>
      </c>
      <c r="GO13" t="e">
        <f>AND(#REF!,"AAAAAG5bvcQ=")</f>
        <v>#REF!</v>
      </c>
      <c r="GP13" t="e">
        <f>AND(#REF!,"AAAAAG5bvcU=")</f>
        <v>#REF!</v>
      </c>
      <c r="GQ13" t="e">
        <f>AND(#REF!,"AAAAAG5bvcY=")</f>
        <v>#REF!</v>
      </c>
      <c r="GR13" t="e">
        <f>AND(#REF!,"AAAAAG5bvcc=")</f>
        <v>#REF!</v>
      </c>
      <c r="GS13" t="e">
        <f>AND(#REF!,"AAAAAG5bvcg=")</f>
        <v>#REF!</v>
      </c>
      <c r="GT13" t="e">
        <f>IF(#REF!,"AAAAAG5bvck=",0)</f>
        <v>#REF!</v>
      </c>
      <c r="GU13" t="e">
        <f>AND(#REF!,"AAAAAG5bvco=")</f>
        <v>#REF!</v>
      </c>
      <c r="GV13" t="e">
        <f>AND(#REF!,"AAAAAG5bvcs=")</f>
        <v>#REF!</v>
      </c>
      <c r="GW13" t="e">
        <f>AND(#REF!,"AAAAAG5bvcw=")</f>
        <v>#REF!</v>
      </c>
      <c r="GX13" t="e">
        <f>AND(#REF!,"AAAAAG5bvc0=")</f>
        <v>#REF!</v>
      </c>
      <c r="GY13" t="e">
        <f>AND(#REF!,"AAAAAG5bvc4=")</f>
        <v>#REF!</v>
      </c>
      <c r="GZ13" t="e">
        <f>AND(#REF!,"AAAAAG5bvc8=")</f>
        <v>#REF!</v>
      </c>
      <c r="HA13" t="e">
        <f>AND(#REF!,"AAAAAG5bvdA=")</f>
        <v>#REF!</v>
      </c>
      <c r="HB13" t="e">
        <f>AND(#REF!,"AAAAAG5bvdE=")</f>
        <v>#REF!</v>
      </c>
      <c r="HC13" t="e">
        <f>AND(#REF!,"AAAAAG5bvdI=")</f>
        <v>#REF!</v>
      </c>
      <c r="HD13" t="e">
        <f>AND(#REF!,"AAAAAG5bvdM=")</f>
        <v>#REF!</v>
      </c>
      <c r="HE13" t="e">
        <f>AND(#REF!,"AAAAAG5bvdQ=")</f>
        <v>#REF!</v>
      </c>
      <c r="HF13" t="e">
        <f>AND(#REF!,"AAAAAG5bvdU=")</f>
        <v>#REF!</v>
      </c>
      <c r="HG13" t="e">
        <f>IF(#REF!,"AAAAAG5bvdY=",0)</f>
        <v>#REF!</v>
      </c>
      <c r="HH13" t="e">
        <f>AND(#REF!,"AAAAAG5bvdc=")</f>
        <v>#REF!</v>
      </c>
      <c r="HI13" t="e">
        <f>AND(#REF!,"AAAAAG5bvdg=")</f>
        <v>#REF!</v>
      </c>
      <c r="HJ13" t="e">
        <f>AND(#REF!,"AAAAAG5bvdk=")</f>
        <v>#REF!</v>
      </c>
      <c r="HK13" t="e">
        <f>AND(#REF!,"AAAAAG5bvdo=")</f>
        <v>#REF!</v>
      </c>
      <c r="HL13" t="e">
        <f>AND(#REF!,"AAAAAG5bvds=")</f>
        <v>#REF!</v>
      </c>
      <c r="HM13" t="e">
        <f>AND(#REF!,"AAAAAG5bvdw=")</f>
        <v>#REF!</v>
      </c>
      <c r="HN13" t="e">
        <f>AND(#REF!,"AAAAAG5bvd0=")</f>
        <v>#REF!</v>
      </c>
      <c r="HO13" t="e">
        <f>AND(#REF!,"AAAAAG5bvd4=")</f>
        <v>#REF!</v>
      </c>
      <c r="HP13" t="e">
        <f>AND(#REF!,"AAAAAG5bvd8=")</f>
        <v>#REF!</v>
      </c>
      <c r="HQ13" t="e">
        <f>AND(#REF!,"AAAAAG5bveA=")</f>
        <v>#REF!</v>
      </c>
      <c r="HR13" t="e">
        <f>AND(#REF!,"AAAAAG5bveE=")</f>
        <v>#REF!</v>
      </c>
      <c r="HS13" t="e">
        <f>AND(#REF!,"AAAAAG5bveI=")</f>
        <v>#REF!</v>
      </c>
      <c r="HT13" t="e">
        <f>IF(#REF!,"AAAAAG5bveM=",0)</f>
        <v>#REF!</v>
      </c>
      <c r="HU13" t="e">
        <f>AND(#REF!,"AAAAAG5bveQ=")</f>
        <v>#REF!</v>
      </c>
      <c r="HV13" t="e">
        <f>AND(#REF!,"AAAAAG5bveU=")</f>
        <v>#REF!</v>
      </c>
      <c r="HW13" t="e">
        <f>AND(#REF!,"AAAAAG5bveY=")</f>
        <v>#REF!</v>
      </c>
      <c r="HX13" t="e">
        <f>AND(#REF!,"AAAAAG5bvec=")</f>
        <v>#REF!</v>
      </c>
      <c r="HY13" t="e">
        <f>AND(#REF!,"AAAAAG5bveg=")</f>
        <v>#REF!</v>
      </c>
      <c r="HZ13" t="e">
        <f>AND(#REF!,"AAAAAG5bvek=")</f>
        <v>#REF!</v>
      </c>
      <c r="IA13" t="e">
        <f>AND(#REF!,"AAAAAG5bveo=")</f>
        <v>#REF!</v>
      </c>
      <c r="IB13" t="e">
        <f>AND(#REF!,"AAAAAG5bves=")</f>
        <v>#REF!</v>
      </c>
      <c r="IC13" t="e">
        <f>AND(#REF!,"AAAAAG5bvew=")</f>
        <v>#REF!</v>
      </c>
      <c r="ID13" t="e">
        <f>AND(#REF!,"AAAAAG5bve0=")</f>
        <v>#REF!</v>
      </c>
      <c r="IE13" t="e">
        <f>AND(#REF!,"AAAAAG5bve4=")</f>
        <v>#REF!</v>
      </c>
      <c r="IF13" t="e">
        <f>AND(#REF!,"AAAAAG5bve8=")</f>
        <v>#REF!</v>
      </c>
      <c r="IG13" t="e">
        <f>IF(#REF!,"AAAAAG5bvfA=",0)</f>
        <v>#REF!</v>
      </c>
      <c r="IH13" t="e">
        <f>AND(#REF!,"AAAAAG5bvfE=")</f>
        <v>#REF!</v>
      </c>
      <c r="II13" t="e">
        <f>AND(#REF!,"AAAAAG5bvfI=")</f>
        <v>#REF!</v>
      </c>
      <c r="IJ13" t="e">
        <f>AND(#REF!,"AAAAAG5bvfM=")</f>
        <v>#REF!</v>
      </c>
      <c r="IK13" t="e">
        <f>AND(#REF!,"AAAAAG5bvfQ=")</f>
        <v>#REF!</v>
      </c>
      <c r="IL13" t="e">
        <f>AND(#REF!,"AAAAAG5bvfU=")</f>
        <v>#REF!</v>
      </c>
      <c r="IM13" t="e">
        <f>AND(#REF!,"AAAAAG5bvfY=")</f>
        <v>#REF!</v>
      </c>
      <c r="IN13" t="e">
        <f>AND(#REF!,"AAAAAG5bvfc=")</f>
        <v>#REF!</v>
      </c>
      <c r="IO13" t="e">
        <f>AND(#REF!,"AAAAAG5bvfg=")</f>
        <v>#REF!</v>
      </c>
      <c r="IP13" t="e">
        <f>AND(#REF!,"AAAAAG5bvfk=")</f>
        <v>#REF!</v>
      </c>
      <c r="IQ13" t="e">
        <f>AND(#REF!,"AAAAAG5bvfo=")</f>
        <v>#REF!</v>
      </c>
      <c r="IR13" t="e">
        <f>AND(#REF!,"AAAAAG5bvfs=")</f>
        <v>#REF!</v>
      </c>
      <c r="IS13" t="e">
        <f>AND(#REF!,"AAAAAG5bvfw=")</f>
        <v>#REF!</v>
      </c>
      <c r="IT13" t="e">
        <f>IF(#REF!,"AAAAAG5bvf0=",0)</f>
        <v>#REF!</v>
      </c>
      <c r="IU13" t="e">
        <f>AND(#REF!,"AAAAAG5bvf4=")</f>
        <v>#REF!</v>
      </c>
      <c r="IV13" t="e">
        <f>AND(#REF!,"AAAAAG5bvf8=")</f>
        <v>#REF!</v>
      </c>
    </row>
    <row r="14" spans="1:256" x14ac:dyDescent="0.25">
      <c r="A14" t="e">
        <f>AND(#REF!,"AAAAAH3i2wA=")</f>
        <v>#REF!</v>
      </c>
      <c r="B14" t="e">
        <f>AND(#REF!,"AAAAAH3i2wE=")</f>
        <v>#REF!</v>
      </c>
      <c r="C14" t="e">
        <f>AND(#REF!,"AAAAAH3i2wI=")</f>
        <v>#REF!</v>
      </c>
      <c r="D14" t="e">
        <f>AND(#REF!,"AAAAAH3i2wM=")</f>
        <v>#REF!</v>
      </c>
      <c r="E14" t="e">
        <f>AND(#REF!,"AAAAAH3i2wQ=")</f>
        <v>#REF!</v>
      </c>
      <c r="F14" t="e">
        <f>AND(#REF!,"AAAAAH3i2wU=")</f>
        <v>#REF!</v>
      </c>
      <c r="G14" t="e">
        <f>AND(#REF!,"AAAAAH3i2wY=")</f>
        <v>#REF!</v>
      </c>
      <c r="H14" t="e">
        <f>AND(#REF!,"AAAAAH3i2wc=")</f>
        <v>#REF!</v>
      </c>
      <c r="I14" t="e">
        <f>AND(#REF!,"AAAAAH3i2wg=")</f>
        <v>#REF!</v>
      </c>
      <c r="J14" t="e">
        <f>AND(#REF!,"AAAAAH3i2wk=")</f>
        <v>#REF!</v>
      </c>
      <c r="K14" t="e">
        <f>IF(#REF!,"AAAAAH3i2wo=",0)</f>
        <v>#REF!</v>
      </c>
      <c r="L14" t="e">
        <f>AND(#REF!,"AAAAAH3i2ws=")</f>
        <v>#REF!</v>
      </c>
      <c r="M14" t="e">
        <f>AND(#REF!,"AAAAAH3i2ww=")</f>
        <v>#REF!</v>
      </c>
      <c r="N14" t="e">
        <f>AND(#REF!,"AAAAAH3i2w0=")</f>
        <v>#REF!</v>
      </c>
      <c r="O14" t="e">
        <f>AND(#REF!,"AAAAAH3i2w4=")</f>
        <v>#REF!</v>
      </c>
      <c r="P14" t="e">
        <f>AND(#REF!,"AAAAAH3i2w8=")</f>
        <v>#REF!</v>
      </c>
      <c r="Q14" t="e">
        <f>AND(#REF!,"AAAAAH3i2xA=")</f>
        <v>#REF!</v>
      </c>
      <c r="R14" t="e">
        <f>AND(#REF!,"AAAAAH3i2xE=")</f>
        <v>#REF!</v>
      </c>
      <c r="S14" t="e">
        <f>AND(#REF!,"AAAAAH3i2xI=")</f>
        <v>#REF!</v>
      </c>
      <c r="T14" t="e">
        <f>AND(#REF!,"AAAAAH3i2xM=")</f>
        <v>#REF!</v>
      </c>
      <c r="U14" t="e">
        <f>AND(#REF!,"AAAAAH3i2xQ=")</f>
        <v>#REF!</v>
      </c>
      <c r="V14" t="e">
        <f>AND(#REF!,"AAAAAH3i2xU=")</f>
        <v>#REF!</v>
      </c>
      <c r="W14" t="e">
        <f>AND(#REF!,"AAAAAH3i2xY=")</f>
        <v>#REF!</v>
      </c>
      <c r="X14" t="e">
        <f>IF(#REF!,"AAAAAH3i2xc=",0)</f>
        <v>#REF!</v>
      </c>
      <c r="Y14" t="e">
        <f>AND(#REF!,"AAAAAH3i2xg=")</f>
        <v>#REF!</v>
      </c>
      <c r="Z14" t="e">
        <f>AND(#REF!,"AAAAAH3i2xk=")</f>
        <v>#REF!</v>
      </c>
      <c r="AA14" t="e">
        <f>AND(#REF!,"AAAAAH3i2xo=")</f>
        <v>#REF!</v>
      </c>
      <c r="AB14" t="e">
        <f>AND(#REF!,"AAAAAH3i2xs=")</f>
        <v>#REF!</v>
      </c>
      <c r="AC14" t="e">
        <f>AND(#REF!,"AAAAAH3i2xw=")</f>
        <v>#REF!</v>
      </c>
      <c r="AD14" t="e">
        <f>AND(#REF!,"AAAAAH3i2x0=")</f>
        <v>#REF!</v>
      </c>
      <c r="AE14" t="e">
        <f>AND(#REF!,"AAAAAH3i2x4=")</f>
        <v>#REF!</v>
      </c>
      <c r="AF14" t="e">
        <f>AND(#REF!,"AAAAAH3i2x8=")</f>
        <v>#REF!</v>
      </c>
      <c r="AG14" t="e">
        <f>AND(#REF!,"AAAAAH3i2yA=")</f>
        <v>#REF!</v>
      </c>
      <c r="AH14" t="e">
        <f>AND(#REF!,"AAAAAH3i2yE=")</f>
        <v>#REF!</v>
      </c>
      <c r="AI14" t="e">
        <f>AND(#REF!,"AAAAAH3i2yI=")</f>
        <v>#REF!</v>
      </c>
      <c r="AJ14" t="e">
        <f>AND(#REF!,"AAAAAH3i2yM=")</f>
        <v>#REF!</v>
      </c>
      <c r="AK14" t="e">
        <f>IF(#REF!,"AAAAAH3i2yQ=",0)</f>
        <v>#REF!</v>
      </c>
      <c r="AL14" t="e">
        <f>AND(#REF!,"AAAAAH3i2yU=")</f>
        <v>#REF!</v>
      </c>
      <c r="AM14" t="e">
        <f>AND(#REF!,"AAAAAH3i2yY=")</f>
        <v>#REF!</v>
      </c>
      <c r="AN14" t="e">
        <f>AND(#REF!,"AAAAAH3i2yc=")</f>
        <v>#REF!</v>
      </c>
      <c r="AO14" t="e">
        <f>AND(#REF!,"AAAAAH3i2yg=")</f>
        <v>#REF!</v>
      </c>
      <c r="AP14" t="e">
        <f>AND(#REF!,"AAAAAH3i2yk=")</f>
        <v>#REF!</v>
      </c>
      <c r="AQ14" t="e">
        <f>AND(#REF!,"AAAAAH3i2yo=")</f>
        <v>#REF!</v>
      </c>
      <c r="AR14" t="e">
        <f>AND(#REF!,"AAAAAH3i2ys=")</f>
        <v>#REF!</v>
      </c>
      <c r="AS14" t="e">
        <f>AND(#REF!,"AAAAAH3i2yw=")</f>
        <v>#REF!</v>
      </c>
      <c r="AT14" t="e">
        <f>AND(#REF!,"AAAAAH3i2y0=")</f>
        <v>#REF!</v>
      </c>
      <c r="AU14" t="e">
        <f>AND(#REF!,"AAAAAH3i2y4=")</f>
        <v>#REF!</v>
      </c>
      <c r="AV14" t="e">
        <f>AND(#REF!,"AAAAAH3i2y8=")</f>
        <v>#REF!</v>
      </c>
      <c r="AW14" t="e">
        <f>AND(#REF!,"AAAAAH3i2zA=")</f>
        <v>#REF!</v>
      </c>
      <c r="AX14" t="e">
        <f>IF(#REF!,"AAAAAH3i2zE=",0)</f>
        <v>#REF!</v>
      </c>
      <c r="AY14" t="e">
        <f>AND(#REF!,"AAAAAH3i2zI=")</f>
        <v>#REF!</v>
      </c>
      <c r="AZ14" t="e">
        <f>AND(#REF!,"AAAAAH3i2zM=")</f>
        <v>#REF!</v>
      </c>
      <c r="BA14" t="e">
        <f>AND(#REF!,"AAAAAH3i2zQ=")</f>
        <v>#REF!</v>
      </c>
      <c r="BB14" t="e">
        <f>AND(#REF!,"AAAAAH3i2zU=")</f>
        <v>#REF!</v>
      </c>
      <c r="BC14" t="e">
        <f>AND(#REF!,"AAAAAH3i2zY=")</f>
        <v>#REF!</v>
      </c>
      <c r="BD14" t="e">
        <f>AND(#REF!,"AAAAAH3i2zc=")</f>
        <v>#REF!</v>
      </c>
      <c r="BE14" t="e">
        <f>AND(#REF!,"AAAAAH3i2zg=")</f>
        <v>#REF!</v>
      </c>
      <c r="BF14" t="e">
        <f>AND(#REF!,"AAAAAH3i2zk=")</f>
        <v>#REF!</v>
      </c>
      <c r="BG14" t="e">
        <f>AND(#REF!,"AAAAAH3i2zo=")</f>
        <v>#REF!</v>
      </c>
      <c r="BH14" t="e">
        <f>AND(#REF!,"AAAAAH3i2zs=")</f>
        <v>#REF!</v>
      </c>
      <c r="BI14" t="e">
        <f>AND(#REF!,"AAAAAH3i2zw=")</f>
        <v>#REF!</v>
      </c>
      <c r="BJ14" t="e">
        <f>AND(#REF!,"AAAAAH3i2z0=")</f>
        <v>#REF!</v>
      </c>
      <c r="BK14" t="e">
        <f>IF(#REF!,"AAAAAH3i2z4=",0)</f>
        <v>#REF!</v>
      </c>
      <c r="BL14" t="e">
        <f>AND(#REF!,"AAAAAH3i2z8=")</f>
        <v>#REF!</v>
      </c>
      <c r="BM14" t="e">
        <f>AND(#REF!,"AAAAAH3i20A=")</f>
        <v>#REF!</v>
      </c>
      <c r="BN14" t="e">
        <f>AND(#REF!,"AAAAAH3i20E=")</f>
        <v>#REF!</v>
      </c>
      <c r="BO14" t="e">
        <f>AND(#REF!,"AAAAAH3i20I=")</f>
        <v>#REF!</v>
      </c>
      <c r="BP14" t="e">
        <f>AND(#REF!,"AAAAAH3i20M=")</f>
        <v>#REF!</v>
      </c>
      <c r="BQ14" t="e">
        <f>AND(#REF!,"AAAAAH3i20Q=")</f>
        <v>#REF!</v>
      </c>
      <c r="BR14" t="e">
        <f>AND(#REF!,"AAAAAH3i20U=")</f>
        <v>#REF!</v>
      </c>
      <c r="BS14" t="e">
        <f>AND(#REF!,"AAAAAH3i20Y=")</f>
        <v>#REF!</v>
      </c>
      <c r="BT14" t="e">
        <f>AND(#REF!,"AAAAAH3i20c=")</f>
        <v>#REF!</v>
      </c>
      <c r="BU14" t="e">
        <f>AND(#REF!,"AAAAAH3i20g=")</f>
        <v>#REF!</v>
      </c>
      <c r="BV14" t="e">
        <f>AND(#REF!,"AAAAAH3i20k=")</f>
        <v>#REF!</v>
      </c>
      <c r="BW14" t="e">
        <f>AND(#REF!,"AAAAAH3i20o=")</f>
        <v>#REF!</v>
      </c>
      <c r="BX14" t="e">
        <f>IF(#REF!,"AAAAAH3i20s=",0)</f>
        <v>#REF!</v>
      </c>
      <c r="BY14" t="e">
        <f>AND(#REF!,"AAAAAH3i20w=")</f>
        <v>#REF!</v>
      </c>
      <c r="BZ14" t="e">
        <f>AND(#REF!,"AAAAAH3i200=")</f>
        <v>#REF!</v>
      </c>
      <c r="CA14" t="e">
        <f>AND(#REF!,"AAAAAH3i204=")</f>
        <v>#REF!</v>
      </c>
      <c r="CB14" t="e">
        <f>AND(#REF!,"AAAAAH3i208=")</f>
        <v>#REF!</v>
      </c>
      <c r="CC14" t="e">
        <f>AND(#REF!,"AAAAAH3i21A=")</f>
        <v>#REF!</v>
      </c>
      <c r="CD14" t="e">
        <f>AND(#REF!,"AAAAAH3i21E=")</f>
        <v>#REF!</v>
      </c>
      <c r="CE14" t="e">
        <f>AND(#REF!,"AAAAAH3i21I=")</f>
        <v>#REF!</v>
      </c>
      <c r="CF14" t="e">
        <f>AND(#REF!,"AAAAAH3i21M=")</f>
        <v>#REF!</v>
      </c>
      <c r="CG14" t="e">
        <f>AND(#REF!,"AAAAAH3i21Q=")</f>
        <v>#REF!</v>
      </c>
      <c r="CH14" t="e">
        <f>AND(#REF!,"AAAAAH3i21U=")</f>
        <v>#REF!</v>
      </c>
      <c r="CI14" t="e">
        <f>AND(#REF!,"AAAAAH3i21Y=")</f>
        <v>#REF!</v>
      </c>
      <c r="CJ14" t="e">
        <f>AND(#REF!,"AAAAAH3i21c=")</f>
        <v>#REF!</v>
      </c>
      <c r="CK14" t="e">
        <f>IF(#REF!,"AAAAAH3i21g=",0)</f>
        <v>#REF!</v>
      </c>
      <c r="CL14" t="e">
        <f>AND(#REF!,"AAAAAH3i21k=")</f>
        <v>#REF!</v>
      </c>
      <c r="CM14" t="e">
        <f>AND(#REF!,"AAAAAH3i21o=")</f>
        <v>#REF!</v>
      </c>
      <c r="CN14" t="e">
        <f>AND(#REF!,"AAAAAH3i21s=")</f>
        <v>#REF!</v>
      </c>
      <c r="CO14" t="e">
        <f>AND(#REF!,"AAAAAH3i21w=")</f>
        <v>#REF!</v>
      </c>
      <c r="CP14" t="e">
        <f>AND(#REF!,"AAAAAH3i210=")</f>
        <v>#REF!</v>
      </c>
      <c r="CQ14" t="e">
        <f>AND(#REF!,"AAAAAH3i214=")</f>
        <v>#REF!</v>
      </c>
      <c r="CR14" t="e">
        <f>AND(#REF!,"AAAAAH3i218=")</f>
        <v>#REF!</v>
      </c>
      <c r="CS14" t="e">
        <f>AND(#REF!,"AAAAAH3i22A=")</f>
        <v>#REF!</v>
      </c>
      <c r="CT14" t="e">
        <f>AND(#REF!,"AAAAAH3i22E=")</f>
        <v>#REF!</v>
      </c>
      <c r="CU14" t="e">
        <f>AND(#REF!,"AAAAAH3i22I=")</f>
        <v>#REF!</v>
      </c>
      <c r="CV14" t="e">
        <f>AND(#REF!,"AAAAAH3i22M=")</f>
        <v>#REF!</v>
      </c>
      <c r="CW14" t="e">
        <f>AND(#REF!,"AAAAAH3i22Q=")</f>
        <v>#REF!</v>
      </c>
      <c r="CX14" t="e">
        <f>IF(#REF!,"AAAAAH3i22U=",0)</f>
        <v>#REF!</v>
      </c>
      <c r="CY14" t="e">
        <f>AND(#REF!,"AAAAAH3i22Y=")</f>
        <v>#REF!</v>
      </c>
      <c r="CZ14" t="e">
        <f>AND(#REF!,"AAAAAH3i22c=")</f>
        <v>#REF!</v>
      </c>
      <c r="DA14" t="e">
        <f>AND(#REF!,"AAAAAH3i22g=")</f>
        <v>#REF!</v>
      </c>
      <c r="DB14" t="e">
        <f>AND(#REF!,"AAAAAH3i22k=")</f>
        <v>#REF!</v>
      </c>
      <c r="DC14" t="e">
        <f>AND(#REF!,"AAAAAH3i22o=")</f>
        <v>#REF!</v>
      </c>
      <c r="DD14" t="e">
        <f>AND(#REF!,"AAAAAH3i22s=")</f>
        <v>#REF!</v>
      </c>
      <c r="DE14" t="e">
        <f>AND(#REF!,"AAAAAH3i22w=")</f>
        <v>#REF!</v>
      </c>
      <c r="DF14" t="e">
        <f>AND(#REF!,"AAAAAH3i220=")</f>
        <v>#REF!</v>
      </c>
      <c r="DG14" t="e">
        <f>AND(#REF!,"AAAAAH3i224=")</f>
        <v>#REF!</v>
      </c>
      <c r="DH14" t="e">
        <f>AND(#REF!,"AAAAAH3i228=")</f>
        <v>#REF!</v>
      </c>
      <c r="DI14" t="e">
        <f>AND(#REF!,"AAAAAH3i23A=")</f>
        <v>#REF!</v>
      </c>
      <c r="DJ14" t="e">
        <f>AND(#REF!,"AAAAAH3i23E=")</f>
        <v>#REF!</v>
      </c>
      <c r="DK14" t="e">
        <f>IF(#REF!,"AAAAAH3i23I=",0)</f>
        <v>#REF!</v>
      </c>
      <c r="DL14" t="e">
        <f>AND(#REF!,"AAAAAH3i23M=")</f>
        <v>#REF!</v>
      </c>
      <c r="DM14" t="e">
        <f>AND(#REF!,"AAAAAH3i23Q=")</f>
        <v>#REF!</v>
      </c>
      <c r="DN14" t="e">
        <f>AND(#REF!,"AAAAAH3i23U=")</f>
        <v>#REF!</v>
      </c>
      <c r="DO14" t="e">
        <f>AND(#REF!,"AAAAAH3i23Y=")</f>
        <v>#REF!</v>
      </c>
      <c r="DP14" t="e">
        <f>AND(#REF!,"AAAAAH3i23c=")</f>
        <v>#REF!</v>
      </c>
      <c r="DQ14" t="e">
        <f>AND(#REF!,"AAAAAH3i23g=")</f>
        <v>#REF!</v>
      </c>
      <c r="DR14" t="e">
        <f>AND(#REF!,"AAAAAH3i23k=")</f>
        <v>#REF!</v>
      </c>
      <c r="DS14" t="e">
        <f>AND(#REF!,"AAAAAH3i23o=")</f>
        <v>#REF!</v>
      </c>
      <c r="DT14" t="e">
        <f>AND(#REF!,"AAAAAH3i23s=")</f>
        <v>#REF!</v>
      </c>
      <c r="DU14" t="e">
        <f>AND(#REF!,"AAAAAH3i23w=")</f>
        <v>#REF!</v>
      </c>
      <c r="DV14" t="e">
        <f>AND(#REF!,"AAAAAH3i230=")</f>
        <v>#REF!</v>
      </c>
      <c r="DW14" t="e">
        <f>AND(#REF!,"AAAAAH3i234=")</f>
        <v>#REF!</v>
      </c>
      <c r="DX14" t="e">
        <f>IF(#REF!,"AAAAAH3i238=",0)</f>
        <v>#REF!</v>
      </c>
      <c r="DY14" t="e">
        <f>AND(#REF!,"AAAAAH3i24A=")</f>
        <v>#REF!</v>
      </c>
      <c r="DZ14" t="e">
        <f>AND(#REF!,"AAAAAH3i24E=")</f>
        <v>#REF!</v>
      </c>
      <c r="EA14" t="e">
        <f>AND(#REF!,"AAAAAH3i24I=")</f>
        <v>#REF!</v>
      </c>
      <c r="EB14" t="e">
        <f>AND(#REF!,"AAAAAH3i24M=")</f>
        <v>#REF!</v>
      </c>
      <c r="EC14" t="e">
        <f>AND(#REF!,"AAAAAH3i24Q=")</f>
        <v>#REF!</v>
      </c>
      <c r="ED14" t="e">
        <f>AND(#REF!,"AAAAAH3i24U=")</f>
        <v>#REF!</v>
      </c>
      <c r="EE14" t="e">
        <f>AND(#REF!,"AAAAAH3i24Y=")</f>
        <v>#REF!</v>
      </c>
      <c r="EF14" t="e">
        <f>AND(#REF!,"AAAAAH3i24c=")</f>
        <v>#REF!</v>
      </c>
      <c r="EG14" t="e">
        <f>AND(#REF!,"AAAAAH3i24g=")</f>
        <v>#REF!</v>
      </c>
      <c r="EH14" t="e">
        <f>AND(#REF!,"AAAAAH3i24k=")</f>
        <v>#REF!</v>
      </c>
      <c r="EI14" t="e">
        <f>AND(#REF!,"AAAAAH3i24o=")</f>
        <v>#REF!</v>
      </c>
      <c r="EJ14" t="e">
        <f>AND(#REF!,"AAAAAH3i24s=")</f>
        <v>#REF!</v>
      </c>
      <c r="EK14" t="e">
        <f>IF(#REF!,"AAAAAH3i24w=",0)</f>
        <v>#REF!</v>
      </c>
      <c r="EL14" t="e">
        <f>AND(#REF!,"AAAAAH3i240=")</f>
        <v>#REF!</v>
      </c>
      <c r="EM14" t="e">
        <f>AND(#REF!,"AAAAAH3i244=")</f>
        <v>#REF!</v>
      </c>
      <c r="EN14" t="e">
        <f>AND(#REF!,"AAAAAH3i248=")</f>
        <v>#REF!</v>
      </c>
      <c r="EO14" t="e">
        <f>AND(#REF!,"AAAAAH3i25A=")</f>
        <v>#REF!</v>
      </c>
      <c r="EP14" t="e">
        <f>AND(#REF!,"AAAAAH3i25E=")</f>
        <v>#REF!</v>
      </c>
      <c r="EQ14" t="e">
        <f>AND(#REF!,"AAAAAH3i25I=")</f>
        <v>#REF!</v>
      </c>
      <c r="ER14" t="e">
        <f>AND(#REF!,"AAAAAH3i25M=")</f>
        <v>#REF!</v>
      </c>
      <c r="ES14" t="e">
        <f>AND(#REF!,"AAAAAH3i25Q=")</f>
        <v>#REF!</v>
      </c>
      <c r="ET14" t="e">
        <f>AND(#REF!,"AAAAAH3i25U=")</f>
        <v>#REF!</v>
      </c>
      <c r="EU14" t="e">
        <f>AND(#REF!,"AAAAAH3i25Y=")</f>
        <v>#REF!</v>
      </c>
      <c r="EV14" t="e">
        <f>AND(#REF!,"AAAAAH3i25c=")</f>
        <v>#REF!</v>
      </c>
      <c r="EW14" t="e">
        <f>AND(#REF!,"AAAAAH3i25g=")</f>
        <v>#REF!</v>
      </c>
      <c r="EX14" t="e">
        <f>IF(#REF!,"AAAAAH3i25k=",0)</f>
        <v>#REF!</v>
      </c>
      <c r="EY14" t="e">
        <f>AND(#REF!,"AAAAAH3i25o=")</f>
        <v>#REF!</v>
      </c>
      <c r="EZ14" t="e">
        <f>AND(#REF!,"AAAAAH3i25s=")</f>
        <v>#REF!</v>
      </c>
      <c r="FA14" t="e">
        <f>AND(#REF!,"AAAAAH3i25w=")</f>
        <v>#REF!</v>
      </c>
      <c r="FB14" t="e">
        <f>AND(#REF!,"AAAAAH3i250=")</f>
        <v>#REF!</v>
      </c>
      <c r="FC14" t="e">
        <f>AND(#REF!,"AAAAAH3i254=")</f>
        <v>#REF!</v>
      </c>
      <c r="FD14" t="e">
        <f>AND(#REF!,"AAAAAH3i258=")</f>
        <v>#REF!</v>
      </c>
      <c r="FE14" t="e">
        <f>AND(#REF!,"AAAAAH3i26A=")</f>
        <v>#REF!</v>
      </c>
      <c r="FF14" t="e">
        <f>AND(#REF!,"AAAAAH3i26E=")</f>
        <v>#REF!</v>
      </c>
      <c r="FG14" t="e">
        <f>AND(#REF!,"AAAAAH3i26I=")</f>
        <v>#REF!</v>
      </c>
      <c r="FH14" t="e">
        <f>AND(#REF!,"AAAAAH3i26M=")</f>
        <v>#REF!</v>
      </c>
      <c r="FI14" t="e">
        <f>AND(#REF!,"AAAAAH3i26Q=")</f>
        <v>#REF!</v>
      </c>
      <c r="FJ14" t="e">
        <f>AND(#REF!,"AAAAAH3i26U=")</f>
        <v>#REF!</v>
      </c>
      <c r="FK14" t="e">
        <f>IF(#REF!,"AAAAAH3i26Y=",0)</f>
        <v>#REF!</v>
      </c>
      <c r="FL14" t="e">
        <f>AND(#REF!,"AAAAAH3i26c=")</f>
        <v>#REF!</v>
      </c>
      <c r="FM14" t="e">
        <f>AND(#REF!,"AAAAAH3i26g=")</f>
        <v>#REF!</v>
      </c>
      <c r="FN14" t="e">
        <f>AND(#REF!,"AAAAAH3i26k=")</f>
        <v>#REF!</v>
      </c>
      <c r="FO14" t="e">
        <f>AND(#REF!,"AAAAAH3i26o=")</f>
        <v>#REF!</v>
      </c>
      <c r="FP14" t="e">
        <f>AND(#REF!,"AAAAAH3i26s=")</f>
        <v>#REF!</v>
      </c>
      <c r="FQ14" t="e">
        <f>AND(#REF!,"AAAAAH3i26w=")</f>
        <v>#REF!</v>
      </c>
      <c r="FR14" t="e">
        <f>AND(#REF!,"AAAAAH3i260=")</f>
        <v>#REF!</v>
      </c>
      <c r="FS14" t="e">
        <f>AND(#REF!,"AAAAAH3i264=")</f>
        <v>#REF!</v>
      </c>
      <c r="FT14" t="e">
        <f>AND(#REF!,"AAAAAH3i268=")</f>
        <v>#REF!</v>
      </c>
      <c r="FU14" t="e">
        <f>AND(#REF!,"AAAAAH3i27A=")</f>
        <v>#REF!</v>
      </c>
      <c r="FV14" t="e">
        <f>AND(#REF!,"AAAAAH3i27E=")</f>
        <v>#REF!</v>
      </c>
      <c r="FW14" t="e">
        <f>AND(#REF!,"AAAAAH3i27I=")</f>
        <v>#REF!</v>
      </c>
      <c r="FX14" t="e">
        <f>IF(#REF!,"AAAAAH3i27M=",0)</f>
        <v>#REF!</v>
      </c>
      <c r="FY14" t="e">
        <f>AND(#REF!,"AAAAAH3i27Q=")</f>
        <v>#REF!</v>
      </c>
      <c r="FZ14" t="e">
        <f>AND(#REF!,"AAAAAH3i27U=")</f>
        <v>#REF!</v>
      </c>
      <c r="GA14" t="e">
        <f>AND(#REF!,"AAAAAH3i27Y=")</f>
        <v>#REF!</v>
      </c>
      <c r="GB14" t="e">
        <f>AND(#REF!,"AAAAAH3i27c=")</f>
        <v>#REF!</v>
      </c>
      <c r="GC14" t="e">
        <f>AND(#REF!,"AAAAAH3i27g=")</f>
        <v>#REF!</v>
      </c>
      <c r="GD14" t="e">
        <f>AND(#REF!,"AAAAAH3i27k=")</f>
        <v>#REF!</v>
      </c>
      <c r="GE14" t="e">
        <f>AND(#REF!,"AAAAAH3i27o=")</f>
        <v>#REF!</v>
      </c>
      <c r="GF14" t="e">
        <f>AND(#REF!,"AAAAAH3i27s=")</f>
        <v>#REF!</v>
      </c>
      <c r="GG14" t="e">
        <f>AND(#REF!,"AAAAAH3i27w=")</f>
        <v>#REF!</v>
      </c>
      <c r="GH14" t="e">
        <f>AND(#REF!,"AAAAAH3i270=")</f>
        <v>#REF!</v>
      </c>
      <c r="GI14" t="e">
        <f>AND(#REF!,"AAAAAH3i274=")</f>
        <v>#REF!</v>
      </c>
      <c r="GJ14" t="e">
        <f>AND(#REF!,"AAAAAH3i278=")</f>
        <v>#REF!</v>
      </c>
      <c r="GK14" t="e">
        <f>IF(#REF!,"AAAAAH3i28A=",0)</f>
        <v>#REF!</v>
      </c>
      <c r="GL14" t="e">
        <f>AND(#REF!,"AAAAAH3i28E=")</f>
        <v>#REF!</v>
      </c>
      <c r="GM14" t="e">
        <f>AND(#REF!,"AAAAAH3i28I=")</f>
        <v>#REF!</v>
      </c>
      <c r="GN14" t="e">
        <f>AND(#REF!,"AAAAAH3i28M=")</f>
        <v>#REF!</v>
      </c>
      <c r="GO14" t="e">
        <f>AND(#REF!,"AAAAAH3i28Q=")</f>
        <v>#REF!</v>
      </c>
      <c r="GP14" t="e">
        <f>AND(#REF!,"AAAAAH3i28U=")</f>
        <v>#REF!</v>
      </c>
      <c r="GQ14" t="e">
        <f>AND(#REF!,"AAAAAH3i28Y=")</f>
        <v>#REF!</v>
      </c>
      <c r="GR14" t="e">
        <f>AND(#REF!,"AAAAAH3i28c=")</f>
        <v>#REF!</v>
      </c>
      <c r="GS14" t="e">
        <f>AND(#REF!,"AAAAAH3i28g=")</f>
        <v>#REF!</v>
      </c>
      <c r="GT14" t="e">
        <f>AND(#REF!,"AAAAAH3i28k=")</f>
        <v>#REF!</v>
      </c>
      <c r="GU14" t="e">
        <f>AND(#REF!,"AAAAAH3i28o=")</f>
        <v>#REF!</v>
      </c>
      <c r="GV14" t="e">
        <f>AND(#REF!,"AAAAAH3i28s=")</f>
        <v>#REF!</v>
      </c>
      <c r="GW14" t="e">
        <f>AND(#REF!,"AAAAAH3i28w=")</f>
        <v>#REF!</v>
      </c>
      <c r="GX14" t="e">
        <f>IF(#REF!,"AAAAAH3i280=",0)</f>
        <v>#REF!</v>
      </c>
      <c r="GY14" t="e">
        <f>AND(#REF!,"AAAAAH3i284=")</f>
        <v>#REF!</v>
      </c>
      <c r="GZ14" t="e">
        <f>AND(#REF!,"AAAAAH3i288=")</f>
        <v>#REF!</v>
      </c>
      <c r="HA14" t="e">
        <f>AND(#REF!,"AAAAAH3i29A=")</f>
        <v>#REF!</v>
      </c>
      <c r="HB14" t="e">
        <f>AND(#REF!,"AAAAAH3i29E=")</f>
        <v>#REF!</v>
      </c>
      <c r="HC14" t="e">
        <f>AND(#REF!,"AAAAAH3i29I=")</f>
        <v>#REF!</v>
      </c>
      <c r="HD14" t="e">
        <f>AND(#REF!,"AAAAAH3i29M=")</f>
        <v>#REF!</v>
      </c>
      <c r="HE14" t="e">
        <f>AND(#REF!,"AAAAAH3i29Q=")</f>
        <v>#REF!</v>
      </c>
      <c r="HF14" t="e">
        <f>AND(#REF!,"AAAAAH3i29U=")</f>
        <v>#REF!</v>
      </c>
      <c r="HG14" t="e">
        <f>AND(#REF!,"AAAAAH3i29Y=")</f>
        <v>#REF!</v>
      </c>
      <c r="HH14" t="e">
        <f>AND(#REF!,"AAAAAH3i29c=")</f>
        <v>#REF!</v>
      </c>
      <c r="HI14" t="e">
        <f>AND(#REF!,"AAAAAH3i29g=")</f>
        <v>#REF!</v>
      </c>
      <c r="HJ14" t="e">
        <f>AND(#REF!,"AAAAAH3i29k=")</f>
        <v>#REF!</v>
      </c>
      <c r="HK14" t="e">
        <f>IF(#REF!,"AAAAAH3i29o=",0)</f>
        <v>#REF!</v>
      </c>
      <c r="HL14" t="e">
        <f>AND(#REF!,"AAAAAH3i29s=")</f>
        <v>#REF!</v>
      </c>
      <c r="HM14" t="e">
        <f>AND(#REF!,"AAAAAH3i29w=")</f>
        <v>#REF!</v>
      </c>
      <c r="HN14" t="e">
        <f>AND(#REF!,"AAAAAH3i290=")</f>
        <v>#REF!</v>
      </c>
      <c r="HO14" t="e">
        <f>AND(#REF!,"AAAAAH3i294=")</f>
        <v>#REF!</v>
      </c>
      <c r="HP14" t="e">
        <f>AND(#REF!,"AAAAAH3i298=")</f>
        <v>#REF!</v>
      </c>
      <c r="HQ14" t="e">
        <f>AND(#REF!,"AAAAAH3i2+A=")</f>
        <v>#REF!</v>
      </c>
      <c r="HR14" t="e">
        <f>AND(#REF!,"AAAAAH3i2+E=")</f>
        <v>#REF!</v>
      </c>
      <c r="HS14" t="e">
        <f>AND(#REF!,"AAAAAH3i2+I=")</f>
        <v>#REF!</v>
      </c>
      <c r="HT14" t="e">
        <f>AND(#REF!,"AAAAAH3i2+M=")</f>
        <v>#REF!</v>
      </c>
      <c r="HU14" t="e">
        <f>AND(#REF!,"AAAAAH3i2+Q=")</f>
        <v>#REF!</v>
      </c>
      <c r="HV14" t="e">
        <f>AND(#REF!,"AAAAAH3i2+U=")</f>
        <v>#REF!</v>
      </c>
      <c r="HW14" t="e">
        <f>AND(#REF!,"AAAAAH3i2+Y=")</f>
        <v>#REF!</v>
      </c>
      <c r="HX14" t="e">
        <f>IF(#REF!,"AAAAAH3i2+c=",0)</f>
        <v>#REF!</v>
      </c>
      <c r="HY14" t="e">
        <f>AND(#REF!,"AAAAAH3i2+g=")</f>
        <v>#REF!</v>
      </c>
      <c r="HZ14" t="e">
        <f>AND(#REF!,"AAAAAH3i2+k=")</f>
        <v>#REF!</v>
      </c>
      <c r="IA14" t="e">
        <f>AND(#REF!,"AAAAAH3i2+o=")</f>
        <v>#REF!</v>
      </c>
      <c r="IB14" t="e">
        <f>AND(#REF!,"AAAAAH3i2+s=")</f>
        <v>#REF!</v>
      </c>
      <c r="IC14" t="e">
        <f>AND(#REF!,"AAAAAH3i2+w=")</f>
        <v>#REF!</v>
      </c>
      <c r="ID14" t="e">
        <f>AND(#REF!,"AAAAAH3i2+0=")</f>
        <v>#REF!</v>
      </c>
      <c r="IE14" t="e">
        <f>AND(#REF!,"AAAAAH3i2+4=")</f>
        <v>#REF!</v>
      </c>
      <c r="IF14" t="e">
        <f>AND(#REF!,"AAAAAH3i2+8=")</f>
        <v>#REF!</v>
      </c>
      <c r="IG14" t="e">
        <f>AND(#REF!,"AAAAAH3i2/A=")</f>
        <v>#REF!</v>
      </c>
      <c r="IH14" t="e">
        <f>AND(#REF!,"AAAAAH3i2/E=")</f>
        <v>#REF!</v>
      </c>
      <c r="II14" t="e">
        <f>AND(#REF!,"AAAAAH3i2/I=")</f>
        <v>#REF!</v>
      </c>
      <c r="IJ14" t="e">
        <f>AND(#REF!,"AAAAAH3i2/M=")</f>
        <v>#REF!</v>
      </c>
      <c r="IK14" t="e">
        <f>IF(#REF!,"AAAAAH3i2/Q=",0)</f>
        <v>#REF!</v>
      </c>
      <c r="IL14" t="e">
        <f>AND(#REF!,"AAAAAH3i2/U=")</f>
        <v>#REF!</v>
      </c>
      <c r="IM14" t="e">
        <f>AND(#REF!,"AAAAAH3i2/Y=")</f>
        <v>#REF!</v>
      </c>
      <c r="IN14" t="e">
        <f>AND(#REF!,"AAAAAH3i2/c=")</f>
        <v>#REF!</v>
      </c>
      <c r="IO14" t="e">
        <f>AND(#REF!,"AAAAAH3i2/g=")</f>
        <v>#REF!</v>
      </c>
      <c r="IP14" t="e">
        <f>AND(#REF!,"AAAAAH3i2/k=")</f>
        <v>#REF!</v>
      </c>
      <c r="IQ14" t="e">
        <f>AND(#REF!,"AAAAAH3i2/o=")</f>
        <v>#REF!</v>
      </c>
      <c r="IR14" t="e">
        <f>AND(#REF!,"AAAAAH3i2/s=")</f>
        <v>#REF!</v>
      </c>
      <c r="IS14" t="e">
        <f>AND(#REF!,"AAAAAH3i2/w=")</f>
        <v>#REF!</v>
      </c>
      <c r="IT14" t="e">
        <f>AND(#REF!,"AAAAAH3i2/0=")</f>
        <v>#REF!</v>
      </c>
      <c r="IU14" t="e">
        <f>AND(#REF!,"AAAAAH3i2/4=")</f>
        <v>#REF!</v>
      </c>
      <c r="IV14" t="e">
        <f>AND(#REF!,"AAAAAH3i2/8=")</f>
        <v>#REF!</v>
      </c>
    </row>
    <row r="15" spans="1:256" x14ac:dyDescent="0.25">
      <c r="A15" t="e">
        <f>AND(#REF!,"AAAAACu/vwA=")</f>
        <v>#REF!</v>
      </c>
      <c r="B15" t="e">
        <f>IF(#REF!,"AAAAACu/vwE=",0)</f>
        <v>#REF!</v>
      </c>
      <c r="C15" t="e">
        <f>AND(#REF!,"AAAAACu/vwI=")</f>
        <v>#REF!</v>
      </c>
      <c r="D15" t="e">
        <f>AND(#REF!,"AAAAACu/vwM=")</f>
        <v>#REF!</v>
      </c>
      <c r="E15" t="e">
        <f>AND(#REF!,"AAAAACu/vwQ=")</f>
        <v>#REF!</v>
      </c>
      <c r="F15" t="e">
        <f>AND(#REF!,"AAAAACu/vwU=")</f>
        <v>#REF!</v>
      </c>
      <c r="G15" t="e">
        <f>AND(#REF!,"AAAAACu/vwY=")</f>
        <v>#REF!</v>
      </c>
      <c r="H15" t="e">
        <f>AND(#REF!,"AAAAACu/vwc=")</f>
        <v>#REF!</v>
      </c>
      <c r="I15" t="e">
        <f>AND(#REF!,"AAAAACu/vwg=")</f>
        <v>#REF!</v>
      </c>
      <c r="J15" t="e">
        <f>AND(#REF!,"AAAAACu/vwk=")</f>
        <v>#REF!</v>
      </c>
      <c r="K15" t="e">
        <f>AND(#REF!,"AAAAACu/vwo=")</f>
        <v>#REF!</v>
      </c>
      <c r="L15" t="e">
        <f>AND(#REF!,"AAAAACu/vws=")</f>
        <v>#REF!</v>
      </c>
      <c r="M15" t="e">
        <f>AND(#REF!,"AAAAACu/vww=")</f>
        <v>#REF!</v>
      </c>
      <c r="N15" t="e">
        <f>AND(#REF!,"AAAAACu/vw0=")</f>
        <v>#REF!</v>
      </c>
      <c r="O15" t="e">
        <f>IF(#REF!,"AAAAACu/vw4=",0)</f>
        <v>#REF!</v>
      </c>
      <c r="P15" t="e">
        <f>AND(#REF!,"AAAAACu/vw8=")</f>
        <v>#REF!</v>
      </c>
      <c r="Q15" t="e">
        <f>AND(#REF!,"AAAAACu/vxA=")</f>
        <v>#REF!</v>
      </c>
      <c r="R15" t="e">
        <f>AND(#REF!,"AAAAACu/vxE=")</f>
        <v>#REF!</v>
      </c>
      <c r="S15" t="e">
        <f>AND(#REF!,"AAAAACu/vxI=")</f>
        <v>#REF!</v>
      </c>
      <c r="T15" t="e">
        <f>AND(#REF!,"AAAAACu/vxM=")</f>
        <v>#REF!</v>
      </c>
      <c r="U15" t="e">
        <f>AND(#REF!,"AAAAACu/vxQ=")</f>
        <v>#REF!</v>
      </c>
      <c r="V15" t="e">
        <f>AND(#REF!,"AAAAACu/vxU=")</f>
        <v>#REF!</v>
      </c>
      <c r="W15" t="e">
        <f>AND(#REF!,"AAAAACu/vxY=")</f>
        <v>#REF!</v>
      </c>
      <c r="X15" t="e">
        <f>AND(#REF!,"AAAAACu/vxc=")</f>
        <v>#REF!</v>
      </c>
      <c r="Y15" t="e">
        <f>AND(#REF!,"AAAAACu/vxg=")</f>
        <v>#REF!</v>
      </c>
      <c r="Z15" t="e">
        <f>AND(#REF!,"AAAAACu/vxk=")</f>
        <v>#REF!</v>
      </c>
      <c r="AA15" t="e">
        <f>AND(#REF!,"AAAAACu/vxo=")</f>
        <v>#REF!</v>
      </c>
      <c r="AB15" t="e">
        <f>IF(#REF!,"AAAAACu/vxs=",0)</f>
        <v>#REF!</v>
      </c>
      <c r="AC15" t="e">
        <f>AND(#REF!,"AAAAACu/vxw=")</f>
        <v>#REF!</v>
      </c>
      <c r="AD15" t="e">
        <f>AND(#REF!,"AAAAACu/vx0=")</f>
        <v>#REF!</v>
      </c>
      <c r="AE15" t="e">
        <f>AND(#REF!,"AAAAACu/vx4=")</f>
        <v>#REF!</v>
      </c>
      <c r="AF15" t="e">
        <f>AND(#REF!,"AAAAACu/vx8=")</f>
        <v>#REF!</v>
      </c>
      <c r="AG15" t="e">
        <f>AND(#REF!,"AAAAACu/vyA=")</f>
        <v>#REF!</v>
      </c>
      <c r="AH15" t="e">
        <f>AND(#REF!,"AAAAACu/vyE=")</f>
        <v>#REF!</v>
      </c>
      <c r="AI15" t="e">
        <f>AND(#REF!,"AAAAACu/vyI=")</f>
        <v>#REF!</v>
      </c>
      <c r="AJ15" t="e">
        <f>AND(#REF!,"AAAAACu/vyM=")</f>
        <v>#REF!</v>
      </c>
      <c r="AK15" t="e">
        <f>AND(#REF!,"AAAAACu/vyQ=")</f>
        <v>#REF!</v>
      </c>
      <c r="AL15" t="e">
        <f>AND(#REF!,"AAAAACu/vyU=")</f>
        <v>#REF!</v>
      </c>
      <c r="AM15" t="e">
        <f>AND(#REF!,"AAAAACu/vyY=")</f>
        <v>#REF!</v>
      </c>
      <c r="AN15" t="e">
        <f>AND(#REF!,"AAAAACu/vyc=")</f>
        <v>#REF!</v>
      </c>
      <c r="AO15" t="e">
        <f>IF(#REF!,"AAAAACu/vyg=",0)</f>
        <v>#REF!</v>
      </c>
      <c r="AP15" t="e">
        <f>AND(#REF!,"AAAAACu/vyk=")</f>
        <v>#REF!</v>
      </c>
      <c r="AQ15" t="e">
        <f>AND(#REF!,"AAAAACu/vyo=")</f>
        <v>#REF!</v>
      </c>
      <c r="AR15" t="e">
        <f>AND(#REF!,"AAAAACu/vys=")</f>
        <v>#REF!</v>
      </c>
      <c r="AS15" t="e">
        <f>AND(#REF!,"AAAAACu/vyw=")</f>
        <v>#REF!</v>
      </c>
      <c r="AT15" t="e">
        <f>AND(#REF!,"AAAAACu/vy0=")</f>
        <v>#REF!</v>
      </c>
      <c r="AU15" t="e">
        <f>AND(#REF!,"AAAAACu/vy4=")</f>
        <v>#REF!</v>
      </c>
      <c r="AV15" t="e">
        <f>AND(#REF!,"AAAAACu/vy8=")</f>
        <v>#REF!</v>
      </c>
      <c r="AW15" t="e">
        <f>AND(#REF!,"AAAAACu/vzA=")</f>
        <v>#REF!</v>
      </c>
      <c r="AX15" t="e">
        <f>AND(#REF!,"AAAAACu/vzE=")</f>
        <v>#REF!</v>
      </c>
      <c r="AY15" t="e">
        <f>AND(#REF!,"AAAAACu/vzI=")</f>
        <v>#REF!</v>
      </c>
      <c r="AZ15" t="e">
        <f>AND(#REF!,"AAAAACu/vzM=")</f>
        <v>#REF!</v>
      </c>
      <c r="BA15" t="e">
        <f>AND(#REF!,"AAAAACu/vzQ=")</f>
        <v>#REF!</v>
      </c>
      <c r="BB15" t="e">
        <f>IF(#REF!,"AAAAACu/vzU=",0)</f>
        <v>#REF!</v>
      </c>
      <c r="BC15" t="e">
        <f>AND(#REF!,"AAAAACu/vzY=")</f>
        <v>#REF!</v>
      </c>
      <c r="BD15" t="e">
        <f>AND(#REF!,"AAAAACu/vzc=")</f>
        <v>#REF!</v>
      </c>
      <c r="BE15" t="e">
        <f>AND(#REF!,"AAAAACu/vzg=")</f>
        <v>#REF!</v>
      </c>
      <c r="BF15" t="e">
        <f>AND(#REF!,"AAAAACu/vzk=")</f>
        <v>#REF!</v>
      </c>
      <c r="BG15" t="e">
        <f>AND(#REF!,"AAAAACu/vzo=")</f>
        <v>#REF!</v>
      </c>
      <c r="BH15" t="e">
        <f>AND(#REF!,"AAAAACu/vzs=")</f>
        <v>#REF!</v>
      </c>
      <c r="BI15" t="e">
        <f>AND(#REF!,"AAAAACu/vzw=")</f>
        <v>#REF!</v>
      </c>
      <c r="BJ15" t="e">
        <f>AND(#REF!,"AAAAACu/vz0=")</f>
        <v>#REF!</v>
      </c>
      <c r="BK15" t="e">
        <f>AND(#REF!,"AAAAACu/vz4=")</f>
        <v>#REF!</v>
      </c>
      <c r="BL15" t="e">
        <f>AND(#REF!,"AAAAACu/vz8=")</f>
        <v>#REF!</v>
      </c>
      <c r="BM15" t="e">
        <f>AND(#REF!,"AAAAACu/v0A=")</f>
        <v>#REF!</v>
      </c>
      <c r="BN15" t="e">
        <f>AND(#REF!,"AAAAACu/v0E=")</f>
        <v>#REF!</v>
      </c>
      <c r="BO15" t="e">
        <f>IF(#REF!,"AAAAACu/v0I=",0)</f>
        <v>#REF!</v>
      </c>
      <c r="BP15" t="e">
        <f>AND(#REF!,"AAAAACu/v0M=")</f>
        <v>#REF!</v>
      </c>
      <c r="BQ15" t="e">
        <f>AND(#REF!,"AAAAACu/v0Q=")</f>
        <v>#REF!</v>
      </c>
      <c r="BR15" t="e">
        <f>AND(#REF!,"AAAAACu/v0U=")</f>
        <v>#REF!</v>
      </c>
      <c r="BS15" t="e">
        <f>AND(#REF!,"AAAAACu/v0Y=")</f>
        <v>#REF!</v>
      </c>
      <c r="BT15" t="e">
        <f>AND(#REF!,"AAAAACu/v0c=")</f>
        <v>#REF!</v>
      </c>
      <c r="BU15" t="e">
        <f>AND(#REF!,"AAAAACu/v0g=")</f>
        <v>#REF!</v>
      </c>
      <c r="BV15" t="e">
        <f>AND(#REF!,"AAAAACu/v0k=")</f>
        <v>#REF!</v>
      </c>
      <c r="BW15" t="e">
        <f>AND(#REF!,"AAAAACu/v0o=")</f>
        <v>#REF!</v>
      </c>
      <c r="BX15" t="e">
        <f>AND(#REF!,"AAAAACu/v0s=")</f>
        <v>#REF!</v>
      </c>
      <c r="BY15" t="e">
        <f>AND(#REF!,"AAAAACu/v0w=")</f>
        <v>#REF!</v>
      </c>
      <c r="BZ15" t="e">
        <f>AND(#REF!,"AAAAACu/v00=")</f>
        <v>#REF!</v>
      </c>
      <c r="CA15" t="e">
        <f>AND(#REF!,"AAAAACu/v04=")</f>
        <v>#REF!</v>
      </c>
      <c r="CB15" t="e">
        <f>IF(#REF!,"AAAAACu/v08=",0)</f>
        <v>#REF!</v>
      </c>
      <c r="CC15" t="e">
        <f>AND(#REF!,"AAAAACu/v1A=")</f>
        <v>#REF!</v>
      </c>
      <c r="CD15" t="e">
        <f>AND(#REF!,"AAAAACu/v1E=")</f>
        <v>#REF!</v>
      </c>
      <c r="CE15" t="e">
        <f>AND(#REF!,"AAAAACu/v1I=")</f>
        <v>#REF!</v>
      </c>
      <c r="CF15" t="e">
        <f>AND(#REF!,"AAAAACu/v1M=")</f>
        <v>#REF!</v>
      </c>
      <c r="CG15" t="e">
        <f>AND(#REF!,"AAAAACu/v1Q=")</f>
        <v>#REF!</v>
      </c>
      <c r="CH15" t="e">
        <f>AND(#REF!,"AAAAACu/v1U=")</f>
        <v>#REF!</v>
      </c>
      <c r="CI15" t="e">
        <f>AND(#REF!,"AAAAACu/v1Y=")</f>
        <v>#REF!</v>
      </c>
      <c r="CJ15" t="e">
        <f>AND(#REF!,"AAAAACu/v1c=")</f>
        <v>#REF!</v>
      </c>
      <c r="CK15" t="e">
        <f>AND(#REF!,"AAAAACu/v1g=")</f>
        <v>#REF!</v>
      </c>
      <c r="CL15" t="e">
        <f>AND(#REF!,"AAAAACu/v1k=")</f>
        <v>#REF!</v>
      </c>
      <c r="CM15" t="e">
        <f>AND(#REF!,"AAAAACu/v1o=")</f>
        <v>#REF!</v>
      </c>
      <c r="CN15" t="e">
        <f>AND(#REF!,"AAAAACu/v1s=")</f>
        <v>#REF!</v>
      </c>
      <c r="CO15" t="e">
        <f>IF(#REF!,"AAAAACu/v1w=",0)</f>
        <v>#REF!</v>
      </c>
      <c r="CP15" t="e">
        <f>AND(#REF!,"AAAAACu/v10=")</f>
        <v>#REF!</v>
      </c>
      <c r="CQ15" t="e">
        <f>AND(#REF!,"AAAAACu/v14=")</f>
        <v>#REF!</v>
      </c>
      <c r="CR15" t="e">
        <f>AND(#REF!,"AAAAACu/v18=")</f>
        <v>#REF!</v>
      </c>
      <c r="CS15" t="e">
        <f>AND(#REF!,"AAAAACu/v2A=")</f>
        <v>#REF!</v>
      </c>
      <c r="CT15" t="e">
        <f>AND(#REF!,"AAAAACu/v2E=")</f>
        <v>#REF!</v>
      </c>
      <c r="CU15" t="e">
        <f>AND(#REF!,"AAAAACu/v2I=")</f>
        <v>#REF!</v>
      </c>
      <c r="CV15" t="e">
        <f>AND(#REF!,"AAAAACu/v2M=")</f>
        <v>#REF!</v>
      </c>
      <c r="CW15" t="e">
        <f>AND(#REF!,"AAAAACu/v2Q=")</f>
        <v>#REF!</v>
      </c>
      <c r="CX15" t="e">
        <f>AND(#REF!,"AAAAACu/v2U=")</f>
        <v>#REF!</v>
      </c>
      <c r="CY15" t="e">
        <f>AND(#REF!,"AAAAACu/v2Y=")</f>
        <v>#REF!</v>
      </c>
      <c r="CZ15" t="e">
        <f>AND(#REF!,"AAAAACu/v2c=")</f>
        <v>#REF!</v>
      </c>
      <c r="DA15" t="e">
        <f>AND(#REF!,"AAAAACu/v2g=")</f>
        <v>#REF!</v>
      </c>
      <c r="DB15" t="e">
        <f>IF(#REF!,"AAAAACu/v2k=",0)</f>
        <v>#REF!</v>
      </c>
      <c r="DC15" t="e">
        <f>AND(#REF!,"AAAAACu/v2o=")</f>
        <v>#REF!</v>
      </c>
      <c r="DD15" t="e">
        <f>AND(#REF!,"AAAAACu/v2s=")</f>
        <v>#REF!</v>
      </c>
      <c r="DE15" t="e">
        <f>AND(#REF!,"AAAAACu/v2w=")</f>
        <v>#REF!</v>
      </c>
      <c r="DF15" t="e">
        <f>AND(#REF!,"AAAAACu/v20=")</f>
        <v>#REF!</v>
      </c>
      <c r="DG15" t="e">
        <f>AND(#REF!,"AAAAACu/v24=")</f>
        <v>#REF!</v>
      </c>
      <c r="DH15" t="e">
        <f>AND(#REF!,"AAAAACu/v28=")</f>
        <v>#REF!</v>
      </c>
      <c r="DI15" t="e">
        <f>AND(#REF!,"AAAAACu/v3A=")</f>
        <v>#REF!</v>
      </c>
      <c r="DJ15" t="e">
        <f>AND(#REF!,"AAAAACu/v3E=")</f>
        <v>#REF!</v>
      </c>
      <c r="DK15" t="e">
        <f>AND(#REF!,"AAAAACu/v3I=")</f>
        <v>#REF!</v>
      </c>
      <c r="DL15" t="e">
        <f>AND(#REF!,"AAAAACu/v3M=")</f>
        <v>#REF!</v>
      </c>
      <c r="DM15" t="e">
        <f>AND(#REF!,"AAAAACu/v3Q=")</f>
        <v>#REF!</v>
      </c>
      <c r="DN15" t="e">
        <f>AND(#REF!,"AAAAACu/v3U=")</f>
        <v>#REF!</v>
      </c>
      <c r="DO15" t="e">
        <f>IF(#REF!,"AAAAACu/v3Y=",0)</f>
        <v>#REF!</v>
      </c>
      <c r="DP15" t="e">
        <f>AND(#REF!,"AAAAACu/v3c=")</f>
        <v>#REF!</v>
      </c>
      <c r="DQ15" t="e">
        <f>AND(#REF!,"AAAAACu/v3g=")</f>
        <v>#REF!</v>
      </c>
      <c r="DR15" t="e">
        <f>AND(#REF!,"AAAAACu/v3k=")</f>
        <v>#REF!</v>
      </c>
      <c r="DS15" t="e">
        <f>AND(#REF!,"AAAAACu/v3o=")</f>
        <v>#REF!</v>
      </c>
      <c r="DT15" t="e">
        <f>AND(#REF!,"AAAAACu/v3s=")</f>
        <v>#REF!</v>
      </c>
      <c r="DU15" t="e">
        <f>AND(#REF!,"AAAAACu/v3w=")</f>
        <v>#REF!</v>
      </c>
      <c r="DV15" t="e">
        <f>AND(#REF!,"AAAAACu/v30=")</f>
        <v>#REF!</v>
      </c>
      <c r="DW15" t="e">
        <f>AND(#REF!,"AAAAACu/v34=")</f>
        <v>#REF!</v>
      </c>
      <c r="DX15" t="e">
        <f>AND(#REF!,"AAAAACu/v38=")</f>
        <v>#REF!</v>
      </c>
      <c r="DY15" t="e">
        <f>AND(#REF!,"AAAAACu/v4A=")</f>
        <v>#REF!</v>
      </c>
      <c r="DZ15" t="e">
        <f>AND(#REF!,"AAAAACu/v4E=")</f>
        <v>#REF!</v>
      </c>
      <c r="EA15" t="e">
        <f>AND(#REF!,"AAAAACu/v4I=")</f>
        <v>#REF!</v>
      </c>
      <c r="EB15" t="e">
        <f>IF(#REF!,"AAAAACu/v4M=",0)</f>
        <v>#REF!</v>
      </c>
      <c r="EC15" t="e">
        <f>AND(#REF!,"AAAAACu/v4Q=")</f>
        <v>#REF!</v>
      </c>
      <c r="ED15" t="e">
        <f>AND(#REF!,"AAAAACu/v4U=")</f>
        <v>#REF!</v>
      </c>
      <c r="EE15" t="e">
        <f>AND(#REF!,"AAAAACu/v4Y=")</f>
        <v>#REF!</v>
      </c>
      <c r="EF15" t="e">
        <f>AND(#REF!,"AAAAACu/v4c=")</f>
        <v>#REF!</v>
      </c>
      <c r="EG15" t="e">
        <f>AND(#REF!,"AAAAACu/v4g=")</f>
        <v>#REF!</v>
      </c>
      <c r="EH15" t="e">
        <f>AND(#REF!,"AAAAACu/v4k=")</f>
        <v>#REF!</v>
      </c>
      <c r="EI15" t="e">
        <f>AND(#REF!,"AAAAACu/v4o=")</f>
        <v>#REF!</v>
      </c>
      <c r="EJ15" t="e">
        <f>AND(#REF!,"AAAAACu/v4s=")</f>
        <v>#REF!</v>
      </c>
      <c r="EK15" t="e">
        <f>AND(#REF!,"AAAAACu/v4w=")</f>
        <v>#REF!</v>
      </c>
      <c r="EL15" t="e">
        <f>AND(#REF!,"AAAAACu/v40=")</f>
        <v>#REF!</v>
      </c>
      <c r="EM15" t="e">
        <f>AND(#REF!,"AAAAACu/v44=")</f>
        <v>#REF!</v>
      </c>
      <c r="EN15" t="e">
        <f>AND(#REF!,"AAAAACu/v48=")</f>
        <v>#REF!</v>
      </c>
      <c r="EO15" t="e">
        <f>IF(#REF!,"AAAAACu/v5A=",0)</f>
        <v>#REF!</v>
      </c>
      <c r="EP15" t="e">
        <f>IF(#REF!,"AAAAACu/v5E=",0)</f>
        <v>#REF!</v>
      </c>
      <c r="EQ15" t="e">
        <f>IF(#REF!,"AAAAACu/v5I=",0)</f>
        <v>#REF!</v>
      </c>
      <c r="ER15" t="e">
        <f>IF(#REF!,"AAAAACu/v5M=",0)</f>
        <v>#REF!</v>
      </c>
      <c r="ES15" t="e">
        <f>IF(#REF!,"AAAAACu/v5Q=",0)</f>
        <v>#REF!</v>
      </c>
      <c r="ET15" t="e">
        <f>IF(#REF!,"AAAAACu/v5U=",0)</f>
        <v>#REF!</v>
      </c>
      <c r="EU15" t="e">
        <f>IF(#REF!,"AAAAACu/v5Y=",0)</f>
        <v>#REF!</v>
      </c>
      <c r="EV15" t="e">
        <f>IF(#REF!,"AAAAACu/v5c=",0)</f>
        <v>#REF!</v>
      </c>
      <c r="EW15" t="e">
        <f>IF(#REF!,"AAAAACu/v5g=",0)</f>
        <v>#REF!</v>
      </c>
      <c r="EX15" t="e">
        <f>IF(#REF!,"AAAAACu/v5k=",0)</f>
        <v>#REF!</v>
      </c>
      <c r="EY15" t="e">
        <f>IF(#REF!,"AAAAACu/v5o=",0)</f>
        <v>#REF!</v>
      </c>
      <c r="EZ15" t="e">
        <f>IF(#REF!,"AAAAACu/v5s=",0)</f>
        <v>#REF!</v>
      </c>
      <c r="FA15" t="e">
        <f>IF(#REF!,"AAAAACu/v5w=",0)</f>
        <v>#REF!</v>
      </c>
      <c r="FB15" t="e">
        <f>IF(#REF!,"AAAAACu/v50=",0)</f>
        <v>#REF!</v>
      </c>
      <c r="FC15" t="e">
        <f>IF(#REF!,"AAAAACu/v54=",0)</f>
        <v>#REF!</v>
      </c>
      <c r="FD15" t="e">
        <f>IF(#REF!,"AAAAACu/v58=",0)</f>
        <v>#REF!</v>
      </c>
      <c r="FE15" t="e">
        <f>IF(#REF!,"AAAAACu/v6A=",0)</f>
        <v>#REF!</v>
      </c>
      <c r="FF15" t="e">
        <f>IF(#REF!,"AAAAACu/v6E=",0)</f>
        <v>#REF!</v>
      </c>
      <c r="FG15" t="e">
        <f>IF(#REF!,"AAAAACu/v6I=",0)</f>
        <v>#REF!</v>
      </c>
      <c r="FH15" t="e">
        <f>IF(#REF!,"AAAAACu/v6M=",0)</f>
        <v>#REF!</v>
      </c>
      <c r="FI15" t="e">
        <f>IF(#REF!,"AAAAACu/v6Q=",0)</f>
        <v>#REF!</v>
      </c>
      <c r="FJ15">
        <f>IF('3'!1:1,"AAAAACu/v6U=",0)</f>
        <v>0</v>
      </c>
      <c r="FK15" t="e">
        <f>AND('3'!#REF!,"AAAAACu/v6Y=")</f>
        <v>#REF!</v>
      </c>
      <c r="FL15" t="e">
        <f>AND('3'!A1,"AAAAACu/v6c=")</f>
        <v>#VALUE!</v>
      </c>
      <c r="FM15" t="e">
        <f>AND('3'!B1,"AAAAACu/v6g=")</f>
        <v>#VALUE!</v>
      </c>
      <c r="FN15" t="e">
        <f>AND('3'!C1,"AAAAACu/v6k=")</f>
        <v>#VALUE!</v>
      </c>
      <c r="FO15" t="e">
        <f>AND('3'!D1,"AAAAACu/v6o=")</f>
        <v>#VALUE!</v>
      </c>
      <c r="FP15" t="e">
        <f>AND('3'!E1,"AAAAACu/v6s=")</f>
        <v>#VALUE!</v>
      </c>
      <c r="FQ15" t="e">
        <f>AND('3'!F1,"AAAAACu/v6w=")</f>
        <v>#VALUE!</v>
      </c>
      <c r="FR15" t="e">
        <f>AND('3'!G1,"AAAAACu/v60=")</f>
        <v>#VALUE!</v>
      </c>
      <c r="FS15" t="e">
        <f>AND('3'!H1,"AAAAACu/v64=")</f>
        <v>#VALUE!</v>
      </c>
      <c r="FT15" t="e">
        <f>AND('3'!I1,"AAAAACu/v68=")</f>
        <v>#VALUE!</v>
      </c>
      <c r="FU15" t="e">
        <f>AND('3'!J1,"AAAAACu/v7A=")</f>
        <v>#VALUE!</v>
      </c>
      <c r="FV15" t="e">
        <f>AND('3'!L1,"AAAAACu/v7E=")</f>
        <v>#VALUE!</v>
      </c>
      <c r="FW15" t="e">
        <f>AND('3'!#REF!,"AAAAACu/v7I=")</f>
        <v>#REF!</v>
      </c>
      <c r="FX15" t="e">
        <f>AND('3'!#REF!,"AAAAACu/v7M=")</f>
        <v>#REF!</v>
      </c>
      <c r="FY15">
        <f>IF('3'!2:2,"AAAAACu/v7Q=",0)</f>
        <v>0</v>
      </c>
      <c r="FZ15" t="e">
        <f>AND('3'!#REF!,"AAAAACu/v7U=")</f>
        <v>#REF!</v>
      </c>
      <c r="GA15" t="e">
        <f>AND('3'!A2,"AAAAACu/v7Y=")</f>
        <v>#VALUE!</v>
      </c>
      <c r="GB15" t="e">
        <f>AND('3'!B2,"AAAAACu/v7c=")</f>
        <v>#VALUE!</v>
      </c>
      <c r="GC15" t="e">
        <f>AND('3'!C2,"AAAAACu/v7g=")</f>
        <v>#VALUE!</v>
      </c>
      <c r="GD15" t="e">
        <f>AND('3'!D2,"AAAAACu/v7k=")</f>
        <v>#VALUE!</v>
      </c>
      <c r="GE15" t="e">
        <f>AND('3'!E2,"AAAAACu/v7o=")</f>
        <v>#VALUE!</v>
      </c>
      <c r="GF15" t="e">
        <f>AND('3'!F2,"AAAAACu/v7s=")</f>
        <v>#VALUE!</v>
      </c>
      <c r="GG15" t="e">
        <f>AND('3'!G2,"AAAAACu/v7w=")</f>
        <v>#VALUE!</v>
      </c>
      <c r="GH15" t="e">
        <f>AND('3'!H2,"AAAAACu/v70=")</f>
        <v>#VALUE!</v>
      </c>
      <c r="GI15" t="e">
        <f>AND('3'!I2,"AAAAACu/v74=")</f>
        <v>#VALUE!</v>
      </c>
      <c r="GJ15" t="e">
        <f>AND('3'!J2,"AAAAACu/v78=")</f>
        <v>#VALUE!</v>
      </c>
      <c r="GK15" t="e">
        <f>AND('3'!L2,"AAAAACu/v8A=")</f>
        <v>#VALUE!</v>
      </c>
      <c r="GL15" t="e">
        <f>AND('3'!#REF!,"AAAAACu/v8E=")</f>
        <v>#REF!</v>
      </c>
      <c r="GM15" t="e">
        <f>AND('3'!#REF!,"AAAAACu/v8I=")</f>
        <v>#REF!</v>
      </c>
      <c r="GN15">
        <f>IF('3'!3:3,"AAAAACu/v8M=",0)</f>
        <v>0</v>
      </c>
      <c r="GO15" t="e">
        <f>AND('3'!#REF!,"AAAAACu/v8Q=")</f>
        <v>#REF!</v>
      </c>
      <c r="GP15" t="e">
        <f>AND('3'!A3,"AAAAACu/v8U=")</f>
        <v>#VALUE!</v>
      </c>
      <c r="GQ15" t="e">
        <f>AND('3'!B3,"AAAAACu/v8Y=")</f>
        <v>#VALUE!</v>
      </c>
      <c r="GR15" t="e">
        <f>AND('3'!C3,"AAAAACu/v8c=")</f>
        <v>#VALUE!</v>
      </c>
      <c r="GS15" t="e">
        <f>AND('3'!D3,"AAAAACu/v8g=")</f>
        <v>#VALUE!</v>
      </c>
      <c r="GT15" t="e">
        <f>AND('3'!E3,"AAAAACu/v8k=")</f>
        <v>#VALUE!</v>
      </c>
      <c r="GU15" t="e">
        <f>AND('3'!F3,"AAAAACu/v8o=")</f>
        <v>#VALUE!</v>
      </c>
      <c r="GV15" t="e">
        <f>AND('3'!G3,"AAAAACu/v8s=")</f>
        <v>#VALUE!</v>
      </c>
      <c r="GW15" t="e">
        <f>AND('3'!H3,"AAAAACu/v8w=")</f>
        <v>#VALUE!</v>
      </c>
      <c r="GX15" t="e">
        <f>AND('3'!I3,"AAAAACu/v80=")</f>
        <v>#VALUE!</v>
      </c>
      <c r="GY15" t="e">
        <f>AND('3'!J3,"AAAAACu/v84=")</f>
        <v>#VALUE!</v>
      </c>
      <c r="GZ15" t="e">
        <f>AND('3'!L3,"AAAAACu/v88=")</f>
        <v>#VALUE!</v>
      </c>
      <c r="HA15" t="e">
        <f>AND('3'!#REF!,"AAAAACu/v9A=")</f>
        <v>#REF!</v>
      </c>
      <c r="HB15" t="e">
        <f>AND('3'!#REF!,"AAAAACu/v9E=")</f>
        <v>#REF!</v>
      </c>
      <c r="HC15">
        <f>IF('3'!4:4,"AAAAACu/v9I=",0)</f>
        <v>0</v>
      </c>
      <c r="HD15" t="e">
        <f>AND('3'!#REF!,"AAAAACu/v9M=")</f>
        <v>#REF!</v>
      </c>
      <c r="HE15" t="e">
        <f>AND('3'!A4,"AAAAACu/v9Q=")</f>
        <v>#VALUE!</v>
      </c>
      <c r="HF15" t="e">
        <f>AND('3'!B4,"AAAAACu/v9U=")</f>
        <v>#VALUE!</v>
      </c>
      <c r="HG15" t="e">
        <f>AND('3'!C4,"AAAAACu/v9Y=")</f>
        <v>#VALUE!</v>
      </c>
      <c r="HH15" t="e">
        <f>AND('3'!D4,"AAAAACu/v9c=")</f>
        <v>#VALUE!</v>
      </c>
      <c r="HI15" t="e">
        <f>AND('3'!E4,"AAAAACu/v9g=")</f>
        <v>#VALUE!</v>
      </c>
      <c r="HJ15" t="e">
        <f>AND('3'!F4,"AAAAACu/v9k=")</f>
        <v>#VALUE!</v>
      </c>
      <c r="HK15" t="e">
        <f>AND('3'!G4,"AAAAACu/v9o=")</f>
        <v>#VALUE!</v>
      </c>
      <c r="HL15" t="e">
        <f>AND('3'!H4,"AAAAACu/v9s=")</f>
        <v>#VALUE!</v>
      </c>
      <c r="HM15" t="e">
        <f>AND('3'!I4,"AAAAACu/v9w=")</f>
        <v>#VALUE!</v>
      </c>
      <c r="HN15" t="e">
        <f>AND('3'!J4,"AAAAACu/v90=")</f>
        <v>#VALUE!</v>
      </c>
      <c r="HO15" t="e">
        <f>AND('3'!L4,"AAAAACu/v94=")</f>
        <v>#VALUE!</v>
      </c>
      <c r="HP15" t="e">
        <f>AND('3'!#REF!,"AAAAACu/v98=")</f>
        <v>#REF!</v>
      </c>
      <c r="HQ15" t="e">
        <f>AND('3'!#REF!,"AAAAACu/v+A=")</f>
        <v>#REF!</v>
      </c>
      <c r="HR15">
        <f>IF('3'!5:5,"AAAAACu/v+E=",0)</f>
        <v>0</v>
      </c>
      <c r="HS15" t="e">
        <f>AND('3'!#REF!,"AAAAACu/v+I=")</f>
        <v>#REF!</v>
      </c>
      <c r="HT15" t="e">
        <f>AND('3'!A5,"AAAAACu/v+M=")</f>
        <v>#VALUE!</v>
      </c>
      <c r="HU15" t="e">
        <f>AND('3'!B5,"AAAAACu/v+Q=")</f>
        <v>#VALUE!</v>
      </c>
      <c r="HV15" t="e">
        <f>AND('3'!C5,"AAAAACu/v+U=")</f>
        <v>#VALUE!</v>
      </c>
      <c r="HW15" t="e">
        <f>AND('3'!D5,"AAAAACu/v+Y=")</f>
        <v>#VALUE!</v>
      </c>
      <c r="HX15" t="e">
        <f>AND('3'!E5,"AAAAACu/v+c=")</f>
        <v>#VALUE!</v>
      </c>
      <c r="HY15" t="e">
        <f>AND('3'!F5,"AAAAACu/v+g=")</f>
        <v>#VALUE!</v>
      </c>
      <c r="HZ15" t="e">
        <f>AND('3'!G5,"AAAAACu/v+k=")</f>
        <v>#VALUE!</v>
      </c>
      <c r="IA15" t="e">
        <f>AND('3'!H5,"AAAAACu/v+o=")</f>
        <v>#VALUE!</v>
      </c>
      <c r="IB15" t="e">
        <f>AND('3'!I5,"AAAAACu/v+s=")</f>
        <v>#VALUE!</v>
      </c>
      <c r="IC15" t="e">
        <f>AND('3'!J5,"AAAAACu/v+w=")</f>
        <v>#VALUE!</v>
      </c>
      <c r="ID15" t="e">
        <f>AND('3'!L5,"AAAAACu/v+0=")</f>
        <v>#VALUE!</v>
      </c>
      <c r="IE15" t="e">
        <f>AND('3'!#REF!,"AAAAACu/v+4=")</f>
        <v>#REF!</v>
      </c>
      <c r="IF15" t="e">
        <f>AND('3'!#REF!,"AAAAACu/v+8=")</f>
        <v>#REF!</v>
      </c>
      <c r="IG15">
        <f>IF('3'!6:6,"AAAAACu/v/A=",0)</f>
        <v>0</v>
      </c>
      <c r="IH15" t="e">
        <f>AND('3'!#REF!,"AAAAACu/v/E=")</f>
        <v>#REF!</v>
      </c>
      <c r="II15" t="e">
        <f>AND('3'!A6,"AAAAACu/v/I=")</f>
        <v>#VALUE!</v>
      </c>
      <c r="IJ15" t="e">
        <f>AND('3'!B6,"AAAAACu/v/M=")</f>
        <v>#VALUE!</v>
      </c>
      <c r="IK15" t="e">
        <f>AND('3'!C6,"AAAAACu/v/Q=")</f>
        <v>#VALUE!</v>
      </c>
      <c r="IL15" t="e">
        <f>AND('3'!D6,"AAAAACu/v/U=")</f>
        <v>#VALUE!</v>
      </c>
      <c r="IM15" t="e">
        <f>AND('3'!E6,"AAAAACu/v/Y=")</f>
        <v>#VALUE!</v>
      </c>
      <c r="IN15" t="e">
        <f>AND('3'!F6,"AAAAACu/v/c=")</f>
        <v>#VALUE!</v>
      </c>
      <c r="IO15" t="e">
        <f>AND('3'!G6,"AAAAACu/v/g=")</f>
        <v>#VALUE!</v>
      </c>
      <c r="IP15" t="e">
        <f>AND('3'!H6,"AAAAACu/v/k=")</f>
        <v>#VALUE!</v>
      </c>
      <c r="IQ15" t="e">
        <f>AND('3'!I6,"AAAAACu/v/o=")</f>
        <v>#VALUE!</v>
      </c>
      <c r="IR15" t="e">
        <f>AND('3'!J6,"AAAAACu/v/s=")</f>
        <v>#VALUE!</v>
      </c>
      <c r="IS15" t="e">
        <f>AND('3'!L6,"AAAAACu/v/w=")</f>
        <v>#VALUE!</v>
      </c>
      <c r="IT15" t="e">
        <f>AND('3'!#REF!,"AAAAACu/v/0=")</f>
        <v>#REF!</v>
      </c>
      <c r="IU15" t="e">
        <f>AND('3'!#REF!,"AAAAACu/v/4=")</f>
        <v>#REF!</v>
      </c>
      <c r="IV15">
        <f>IF('3'!7:7,"AAAAACu/v/8=",0)</f>
        <v>0</v>
      </c>
    </row>
    <row r="16" spans="1:256" x14ac:dyDescent="0.25">
      <c r="A16" t="e">
        <f>AND('3'!#REF!,"AAAAAH/9vwA=")</f>
        <v>#REF!</v>
      </c>
      <c r="B16" t="e">
        <f>AND('3'!A7,"AAAAAH/9vwE=")</f>
        <v>#VALUE!</v>
      </c>
      <c r="C16" t="e">
        <f>AND('3'!B7,"AAAAAH/9vwI=")</f>
        <v>#VALUE!</v>
      </c>
      <c r="D16" t="e">
        <f>AND('3'!C7,"AAAAAH/9vwM=")</f>
        <v>#VALUE!</v>
      </c>
      <c r="E16" t="e">
        <f>AND('3'!D7,"AAAAAH/9vwQ=")</f>
        <v>#VALUE!</v>
      </c>
      <c r="F16" t="e">
        <f>AND('3'!E7,"AAAAAH/9vwU=")</f>
        <v>#VALUE!</v>
      </c>
      <c r="G16" t="e">
        <f>AND('3'!F7,"AAAAAH/9vwY=")</f>
        <v>#VALUE!</v>
      </c>
      <c r="H16" t="e">
        <f>AND('3'!G7,"AAAAAH/9vwc=")</f>
        <v>#VALUE!</v>
      </c>
      <c r="I16" t="e">
        <f>AND('3'!H7,"AAAAAH/9vwg=")</f>
        <v>#VALUE!</v>
      </c>
      <c r="J16" t="e">
        <f>AND('3'!I7,"AAAAAH/9vwk=")</f>
        <v>#VALUE!</v>
      </c>
      <c r="K16" t="e">
        <f>AND('3'!J7,"AAAAAH/9vwo=")</f>
        <v>#VALUE!</v>
      </c>
      <c r="L16" t="e">
        <f>AND('3'!L7,"AAAAAH/9vws=")</f>
        <v>#VALUE!</v>
      </c>
      <c r="M16" t="e">
        <f>AND('3'!#REF!,"AAAAAH/9vww=")</f>
        <v>#REF!</v>
      </c>
      <c r="N16" t="e">
        <f>AND('3'!#REF!,"AAAAAH/9vw0=")</f>
        <v>#REF!</v>
      </c>
      <c r="O16">
        <f>IF('3'!8:8,"AAAAAH/9vw4=",0)</f>
        <v>0</v>
      </c>
      <c r="P16" t="e">
        <f>AND('3'!#REF!,"AAAAAH/9vw8=")</f>
        <v>#REF!</v>
      </c>
      <c r="Q16" t="e">
        <f>AND('3'!A8,"AAAAAH/9vxA=")</f>
        <v>#VALUE!</v>
      </c>
      <c r="R16" t="e">
        <f>AND('3'!B8,"AAAAAH/9vxE=")</f>
        <v>#VALUE!</v>
      </c>
      <c r="S16" t="e">
        <f>AND('3'!C8,"AAAAAH/9vxI=")</f>
        <v>#VALUE!</v>
      </c>
      <c r="T16" t="e">
        <f>AND('3'!D8,"AAAAAH/9vxM=")</f>
        <v>#VALUE!</v>
      </c>
      <c r="U16" t="e">
        <f>AND('3'!E8,"AAAAAH/9vxQ=")</f>
        <v>#VALUE!</v>
      </c>
      <c r="V16" t="e">
        <f>AND('3'!F8,"AAAAAH/9vxU=")</f>
        <v>#VALUE!</v>
      </c>
      <c r="W16" t="e">
        <f>AND('3'!G8,"AAAAAH/9vxY=")</f>
        <v>#VALUE!</v>
      </c>
      <c r="X16" t="e">
        <f>AND('3'!H8,"AAAAAH/9vxc=")</f>
        <v>#VALUE!</v>
      </c>
      <c r="Y16" t="e">
        <f>AND('3'!I8,"AAAAAH/9vxg=")</f>
        <v>#VALUE!</v>
      </c>
      <c r="Z16" t="e">
        <f>AND('3'!J8,"AAAAAH/9vxk=")</f>
        <v>#VALUE!</v>
      </c>
      <c r="AA16" t="e">
        <f>AND('3'!L8,"AAAAAH/9vxo=")</f>
        <v>#VALUE!</v>
      </c>
      <c r="AB16" t="e">
        <f>AND('3'!#REF!,"AAAAAH/9vxs=")</f>
        <v>#REF!</v>
      </c>
      <c r="AC16" t="e">
        <f>AND('3'!#REF!,"AAAAAH/9vxw=")</f>
        <v>#REF!</v>
      </c>
      <c r="AD16">
        <f>IF('3'!9:9,"AAAAAH/9vx0=",0)</f>
        <v>0</v>
      </c>
      <c r="AE16" t="e">
        <f>AND('3'!#REF!,"AAAAAH/9vx4=")</f>
        <v>#REF!</v>
      </c>
      <c r="AF16" t="e">
        <f>AND('3'!A9,"AAAAAH/9vx8=")</f>
        <v>#VALUE!</v>
      </c>
      <c r="AG16" t="e">
        <f>AND('3'!B9,"AAAAAH/9vyA=")</f>
        <v>#VALUE!</v>
      </c>
      <c r="AH16" t="e">
        <f>AND('3'!C9,"AAAAAH/9vyE=")</f>
        <v>#VALUE!</v>
      </c>
      <c r="AI16" t="e">
        <f>AND('3'!D9,"AAAAAH/9vyI=")</f>
        <v>#VALUE!</v>
      </c>
      <c r="AJ16" t="e">
        <f>AND('3'!E9,"AAAAAH/9vyM=")</f>
        <v>#VALUE!</v>
      </c>
      <c r="AK16" t="e">
        <f>AND('3'!F9,"AAAAAH/9vyQ=")</f>
        <v>#VALUE!</v>
      </c>
      <c r="AL16" t="e">
        <f>AND('3'!G9,"AAAAAH/9vyU=")</f>
        <v>#VALUE!</v>
      </c>
      <c r="AM16" t="e">
        <f>AND('3'!H9,"AAAAAH/9vyY=")</f>
        <v>#VALUE!</v>
      </c>
      <c r="AN16" t="e">
        <f>AND('3'!I9,"AAAAAH/9vyc=")</f>
        <v>#VALUE!</v>
      </c>
      <c r="AO16" t="e">
        <f>AND('3'!J9,"AAAAAH/9vyg=")</f>
        <v>#VALUE!</v>
      </c>
      <c r="AP16" t="e">
        <f>AND('3'!L9,"AAAAAH/9vyk=")</f>
        <v>#VALUE!</v>
      </c>
      <c r="AQ16" t="e">
        <f>AND('3'!#REF!,"AAAAAH/9vyo=")</f>
        <v>#REF!</v>
      </c>
      <c r="AR16" t="e">
        <f>AND('3'!#REF!,"AAAAAH/9vys=")</f>
        <v>#REF!</v>
      </c>
      <c r="AS16">
        <f>IF('3'!10:10,"AAAAAH/9vyw=",0)</f>
        <v>0</v>
      </c>
      <c r="AT16" t="e">
        <f>AND('3'!#REF!,"AAAAAH/9vy0=")</f>
        <v>#REF!</v>
      </c>
      <c r="AU16" t="e">
        <f>AND('3'!A10,"AAAAAH/9vy4=")</f>
        <v>#VALUE!</v>
      </c>
      <c r="AV16" t="e">
        <f>AND('3'!B10,"AAAAAH/9vy8=")</f>
        <v>#VALUE!</v>
      </c>
      <c r="AW16" t="e">
        <f>AND('3'!C10,"AAAAAH/9vzA=")</f>
        <v>#VALUE!</v>
      </c>
      <c r="AX16" t="e">
        <f>AND('3'!D10,"AAAAAH/9vzE=")</f>
        <v>#VALUE!</v>
      </c>
      <c r="AY16" t="e">
        <f>AND('3'!E10,"AAAAAH/9vzI=")</f>
        <v>#VALUE!</v>
      </c>
      <c r="AZ16" t="e">
        <f>AND('3'!F10,"AAAAAH/9vzM=")</f>
        <v>#VALUE!</v>
      </c>
      <c r="BA16" t="e">
        <f>AND('3'!G10,"AAAAAH/9vzQ=")</f>
        <v>#VALUE!</v>
      </c>
      <c r="BB16" t="e">
        <f>AND('3'!H10,"AAAAAH/9vzU=")</f>
        <v>#VALUE!</v>
      </c>
      <c r="BC16" t="e">
        <f>AND('3'!I10,"AAAAAH/9vzY=")</f>
        <v>#VALUE!</v>
      </c>
      <c r="BD16" t="e">
        <f>AND('3'!J10,"AAAAAH/9vzc=")</f>
        <v>#VALUE!</v>
      </c>
      <c r="BE16" t="e">
        <f>AND('3'!L10,"AAAAAH/9vzg=")</f>
        <v>#VALUE!</v>
      </c>
      <c r="BF16" t="e">
        <f>AND('3'!#REF!,"AAAAAH/9vzk=")</f>
        <v>#REF!</v>
      </c>
      <c r="BG16" t="e">
        <f>AND('3'!#REF!,"AAAAAH/9vzo=")</f>
        <v>#REF!</v>
      </c>
      <c r="BH16">
        <f>IF('3'!11:11,"AAAAAH/9vzs=",0)</f>
        <v>0</v>
      </c>
      <c r="BI16" t="e">
        <f>AND('3'!#REF!,"AAAAAH/9vzw=")</f>
        <v>#REF!</v>
      </c>
      <c r="BJ16" t="e">
        <f>AND('3'!A11,"AAAAAH/9vz0=")</f>
        <v>#VALUE!</v>
      </c>
      <c r="BK16" t="e">
        <f>AND('3'!B11,"AAAAAH/9vz4=")</f>
        <v>#VALUE!</v>
      </c>
      <c r="BL16" t="e">
        <f>AND('3'!C11,"AAAAAH/9vz8=")</f>
        <v>#VALUE!</v>
      </c>
      <c r="BM16" t="e">
        <f>AND('3'!D11,"AAAAAH/9v0A=")</f>
        <v>#VALUE!</v>
      </c>
      <c r="BN16" t="e">
        <f>AND('3'!E11,"AAAAAH/9v0E=")</f>
        <v>#VALUE!</v>
      </c>
      <c r="BO16" t="e">
        <f>AND('3'!F11,"AAAAAH/9v0I=")</f>
        <v>#VALUE!</v>
      </c>
      <c r="BP16" t="e">
        <f>AND('3'!G11,"AAAAAH/9v0M=")</f>
        <v>#VALUE!</v>
      </c>
      <c r="BQ16" t="e">
        <f>AND('3'!H11,"AAAAAH/9v0Q=")</f>
        <v>#VALUE!</v>
      </c>
      <c r="BR16" t="e">
        <f>AND('3'!I11,"AAAAAH/9v0U=")</f>
        <v>#VALUE!</v>
      </c>
      <c r="BS16" t="e">
        <f>AND('3'!J11,"AAAAAH/9v0Y=")</f>
        <v>#VALUE!</v>
      </c>
      <c r="BT16" t="e">
        <f>AND('3'!L11,"AAAAAH/9v0c=")</f>
        <v>#VALUE!</v>
      </c>
      <c r="BU16" t="e">
        <f>AND('3'!#REF!,"AAAAAH/9v0g=")</f>
        <v>#REF!</v>
      </c>
      <c r="BV16" t="e">
        <f>AND('3'!#REF!,"AAAAAH/9v0k=")</f>
        <v>#REF!</v>
      </c>
      <c r="BW16">
        <f>IF('3'!13:13,"AAAAAH/9v0o=",0)</f>
        <v>0</v>
      </c>
      <c r="BX16" t="e">
        <f>AND('3'!#REF!,"AAAAAH/9v0s=")</f>
        <v>#REF!</v>
      </c>
      <c r="BY16" t="e">
        <f>AND('3'!A13,"AAAAAH/9v0w=")</f>
        <v>#VALUE!</v>
      </c>
      <c r="BZ16" t="e">
        <f>AND('3'!B13,"AAAAAH/9v00=")</f>
        <v>#VALUE!</v>
      </c>
      <c r="CA16" t="e">
        <f>AND('3'!C13,"AAAAAH/9v04=")</f>
        <v>#VALUE!</v>
      </c>
      <c r="CB16" t="e">
        <f>AND('3'!D13,"AAAAAH/9v08=")</f>
        <v>#VALUE!</v>
      </c>
      <c r="CC16" t="e">
        <f>AND('3'!E13,"AAAAAH/9v1A=")</f>
        <v>#VALUE!</v>
      </c>
      <c r="CD16" t="e">
        <f>AND('3'!F13,"AAAAAH/9v1E=")</f>
        <v>#VALUE!</v>
      </c>
      <c r="CE16" t="e">
        <f>AND('3'!G13,"AAAAAH/9v1I=")</f>
        <v>#VALUE!</v>
      </c>
      <c r="CF16" t="e">
        <f>AND('3'!H13,"AAAAAH/9v1M=")</f>
        <v>#VALUE!</v>
      </c>
      <c r="CG16" t="e">
        <f>AND('3'!I13,"AAAAAH/9v1Q=")</f>
        <v>#VALUE!</v>
      </c>
      <c r="CH16" t="e">
        <f>AND('3'!J13,"AAAAAH/9v1U=")</f>
        <v>#VALUE!</v>
      </c>
      <c r="CI16" t="e">
        <f>AND('3'!L13,"AAAAAH/9v1Y=")</f>
        <v>#VALUE!</v>
      </c>
      <c r="CJ16" t="e">
        <f>AND('3'!#REF!,"AAAAAH/9v1c=")</f>
        <v>#REF!</v>
      </c>
      <c r="CK16" t="e">
        <f>AND('3'!#REF!,"AAAAAH/9v1g=")</f>
        <v>#REF!</v>
      </c>
      <c r="CL16">
        <f>IF('3'!14:14,"AAAAAH/9v1k=",0)</f>
        <v>0</v>
      </c>
      <c r="CM16" t="e">
        <f>AND('3'!#REF!,"AAAAAH/9v1o=")</f>
        <v>#REF!</v>
      </c>
      <c r="CN16" t="e">
        <f>AND('3'!A14,"AAAAAH/9v1s=")</f>
        <v>#VALUE!</v>
      </c>
      <c r="CO16" t="e">
        <f>AND('3'!B14,"AAAAAH/9v1w=")</f>
        <v>#VALUE!</v>
      </c>
      <c r="CP16" t="e">
        <f>AND('3'!C14,"AAAAAH/9v10=")</f>
        <v>#VALUE!</v>
      </c>
      <c r="CQ16" t="e">
        <f>AND('3'!D14,"AAAAAH/9v14=")</f>
        <v>#VALUE!</v>
      </c>
      <c r="CR16" t="e">
        <f>AND('3'!E14,"AAAAAH/9v18=")</f>
        <v>#VALUE!</v>
      </c>
      <c r="CS16" t="e">
        <f>AND('3'!F14,"AAAAAH/9v2A=")</f>
        <v>#VALUE!</v>
      </c>
      <c r="CT16" t="e">
        <f>AND('3'!G14,"AAAAAH/9v2E=")</f>
        <v>#VALUE!</v>
      </c>
      <c r="CU16" t="e">
        <f>AND('3'!H14,"AAAAAH/9v2I=")</f>
        <v>#VALUE!</v>
      </c>
      <c r="CV16" t="e">
        <f>AND('3'!I14,"AAAAAH/9v2M=")</f>
        <v>#VALUE!</v>
      </c>
      <c r="CW16" t="e">
        <f>AND('3'!J14,"AAAAAH/9v2Q=")</f>
        <v>#VALUE!</v>
      </c>
      <c r="CX16" t="e">
        <f>AND('3'!L14,"AAAAAH/9v2U=")</f>
        <v>#VALUE!</v>
      </c>
      <c r="CY16" t="e">
        <f>AND('3'!#REF!,"AAAAAH/9v2Y=")</f>
        <v>#REF!</v>
      </c>
      <c r="CZ16" t="e">
        <f>AND('3'!#REF!,"AAAAAH/9v2c=")</f>
        <v>#REF!</v>
      </c>
      <c r="DA16">
        <f>IF('3'!15:15,"AAAAAH/9v2g=",0)</f>
        <v>0</v>
      </c>
      <c r="DB16" t="e">
        <f>AND('3'!#REF!,"AAAAAH/9v2k=")</f>
        <v>#REF!</v>
      </c>
      <c r="DC16" t="e">
        <f>AND('3'!A15,"AAAAAH/9v2o=")</f>
        <v>#VALUE!</v>
      </c>
      <c r="DD16" t="e">
        <f>AND('3'!B15,"AAAAAH/9v2s=")</f>
        <v>#VALUE!</v>
      </c>
      <c r="DE16" t="e">
        <f>AND('3'!C15,"AAAAAH/9v2w=")</f>
        <v>#VALUE!</v>
      </c>
      <c r="DF16" t="e">
        <f>AND('3'!D15,"AAAAAH/9v20=")</f>
        <v>#VALUE!</v>
      </c>
      <c r="DG16" t="e">
        <f>AND('3'!E15,"AAAAAH/9v24=")</f>
        <v>#VALUE!</v>
      </c>
      <c r="DH16" t="e">
        <f>AND('3'!F15,"AAAAAH/9v28=")</f>
        <v>#VALUE!</v>
      </c>
      <c r="DI16" t="e">
        <f>AND('3'!G15,"AAAAAH/9v3A=")</f>
        <v>#VALUE!</v>
      </c>
      <c r="DJ16" t="e">
        <f>AND('3'!H15,"AAAAAH/9v3E=")</f>
        <v>#VALUE!</v>
      </c>
      <c r="DK16" t="e">
        <f>AND('3'!I15,"AAAAAH/9v3I=")</f>
        <v>#VALUE!</v>
      </c>
      <c r="DL16" t="e">
        <f>AND('3'!J15,"AAAAAH/9v3M=")</f>
        <v>#VALUE!</v>
      </c>
      <c r="DM16" t="e">
        <f>AND('3'!L15,"AAAAAH/9v3Q=")</f>
        <v>#VALUE!</v>
      </c>
      <c r="DN16" t="e">
        <f>AND('3'!#REF!,"AAAAAH/9v3U=")</f>
        <v>#REF!</v>
      </c>
      <c r="DO16" t="e">
        <f>AND('3'!#REF!,"AAAAAH/9v3Y=")</f>
        <v>#REF!</v>
      </c>
      <c r="DP16">
        <f>IF('3'!16:16,"AAAAAH/9v3c=",0)</f>
        <v>0</v>
      </c>
      <c r="DQ16" t="e">
        <f>AND('3'!#REF!,"AAAAAH/9v3g=")</f>
        <v>#REF!</v>
      </c>
      <c r="DR16" t="e">
        <f>AND('3'!A16,"AAAAAH/9v3k=")</f>
        <v>#VALUE!</v>
      </c>
      <c r="DS16" t="e">
        <f>AND('3'!B16,"AAAAAH/9v3o=")</f>
        <v>#VALUE!</v>
      </c>
      <c r="DT16" t="e">
        <f>AND('3'!C16,"AAAAAH/9v3s=")</f>
        <v>#VALUE!</v>
      </c>
      <c r="DU16" t="e">
        <f>AND('3'!D16,"AAAAAH/9v3w=")</f>
        <v>#VALUE!</v>
      </c>
      <c r="DV16" t="e">
        <f>AND('3'!E16,"AAAAAH/9v30=")</f>
        <v>#VALUE!</v>
      </c>
      <c r="DW16" t="e">
        <f>AND('3'!F16,"AAAAAH/9v34=")</f>
        <v>#VALUE!</v>
      </c>
      <c r="DX16" t="e">
        <f>AND('3'!G16,"AAAAAH/9v38=")</f>
        <v>#VALUE!</v>
      </c>
      <c r="DY16" t="e">
        <f>AND('3'!H16,"AAAAAH/9v4A=")</f>
        <v>#VALUE!</v>
      </c>
      <c r="DZ16" t="e">
        <f>AND('3'!I16,"AAAAAH/9v4E=")</f>
        <v>#VALUE!</v>
      </c>
      <c r="EA16" t="e">
        <f>AND('3'!J16,"AAAAAH/9v4I=")</f>
        <v>#VALUE!</v>
      </c>
      <c r="EB16" t="e">
        <f>AND('3'!L16,"AAAAAH/9v4M=")</f>
        <v>#VALUE!</v>
      </c>
      <c r="EC16" t="e">
        <f>AND('3'!#REF!,"AAAAAH/9v4Q=")</f>
        <v>#REF!</v>
      </c>
      <c r="ED16" t="e">
        <f>AND('3'!#REF!,"AAAAAH/9v4U=")</f>
        <v>#REF!</v>
      </c>
      <c r="EE16" t="e">
        <f>IF('3'!#REF!,"AAAAAH/9v4Y=",0)</f>
        <v>#REF!</v>
      </c>
      <c r="EF16" t="e">
        <f>AND('3'!#REF!,"AAAAAH/9v4c=")</f>
        <v>#REF!</v>
      </c>
      <c r="EG16" t="e">
        <f>AND('3'!#REF!,"AAAAAH/9v4g=")</f>
        <v>#REF!</v>
      </c>
      <c r="EH16" t="e">
        <f>AND('3'!#REF!,"AAAAAH/9v4k=")</f>
        <v>#REF!</v>
      </c>
      <c r="EI16" t="e">
        <f>AND('3'!#REF!,"AAAAAH/9v4o=")</f>
        <v>#REF!</v>
      </c>
      <c r="EJ16" t="e">
        <f>AND('3'!#REF!,"AAAAAH/9v4s=")</f>
        <v>#REF!</v>
      </c>
      <c r="EK16" t="e">
        <f>AND('3'!#REF!,"AAAAAH/9v4w=")</f>
        <v>#REF!</v>
      </c>
      <c r="EL16" t="e">
        <f>AND('3'!#REF!,"AAAAAH/9v40=")</f>
        <v>#REF!</v>
      </c>
      <c r="EM16" t="e">
        <f>AND('3'!#REF!,"AAAAAH/9v44=")</f>
        <v>#REF!</v>
      </c>
      <c r="EN16" t="e">
        <f>AND('3'!#REF!,"AAAAAH/9v48=")</f>
        <v>#REF!</v>
      </c>
      <c r="EO16" t="e">
        <f>AND('3'!#REF!,"AAAAAH/9v5A=")</f>
        <v>#REF!</v>
      </c>
      <c r="EP16" t="e">
        <f>AND('3'!#REF!,"AAAAAH/9v5E=")</f>
        <v>#REF!</v>
      </c>
      <c r="EQ16" t="e">
        <f>AND('3'!#REF!,"AAAAAH/9v5I=")</f>
        <v>#REF!</v>
      </c>
      <c r="ER16" t="e">
        <f>AND('3'!#REF!,"AAAAAH/9v5M=")</f>
        <v>#REF!</v>
      </c>
      <c r="ES16" t="e">
        <f>AND('3'!#REF!,"AAAAAH/9v5Q=")</f>
        <v>#REF!</v>
      </c>
      <c r="ET16" t="e">
        <f>IF('3'!#REF!,"AAAAAH/9v5U=",0)</f>
        <v>#REF!</v>
      </c>
      <c r="EU16" t="e">
        <f>AND('3'!#REF!,"AAAAAH/9v5Y=")</f>
        <v>#REF!</v>
      </c>
      <c r="EV16" t="e">
        <f>AND('3'!#REF!,"AAAAAH/9v5c=")</f>
        <v>#REF!</v>
      </c>
      <c r="EW16" t="e">
        <f>AND('3'!#REF!,"AAAAAH/9v5g=")</f>
        <v>#REF!</v>
      </c>
      <c r="EX16" t="e">
        <f>AND('3'!#REF!,"AAAAAH/9v5k=")</f>
        <v>#REF!</v>
      </c>
      <c r="EY16" t="e">
        <f>AND('3'!#REF!,"AAAAAH/9v5o=")</f>
        <v>#REF!</v>
      </c>
      <c r="EZ16" t="e">
        <f>AND('3'!#REF!,"AAAAAH/9v5s=")</f>
        <v>#REF!</v>
      </c>
      <c r="FA16" t="e">
        <f>AND('3'!#REF!,"AAAAAH/9v5w=")</f>
        <v>#REF!</v>
      </c>
      <c r="FB16" t="e">
        <f>AND('3'!#REF!,"AAAAAH/9v50=")</f>
        <v>#REF!</v>
      </c>
      <c r="FC16" t="e">
        <f>AND('3'!#REF!,"AAAAAH/9v54=")</f>
        <v>#REF!</v>
      </c>
      <c r="FD16" t="e">
        <f>AND('3'!#REF!,"AAAAAH/9v58=")</f>
        <v>#REF!</v>
      </c>
      <c r="FE16" t="e">
        <f>AND('3'!#REF!,"AAAAAH/9v6A=")</f>
        <v>#REF!</v>
      </c>
      <c r="FF16" t="e">
        <f>AND('3'!#REF!,"AAAAAH/9v6E=")</f>
        <v>#REF!</v>
      </c>
      <c r="FG16" t="e">
        <f>AND('3'!#REF!,"AAAAAH/9v6I=")</f>
        <v>#REF!</v>
      </c>
      <c r="FH16" t="e">
        <f>AND('3'!#REF!,"AAAAAH/9v6M=")</f>
        <v>#REF!</v>
      </c>
      <c r="FI16" t="e">
        <f>IF('3'!#REF!,"AAAAAH/9v6Q=",0)</f>
        <v>#REF!</v>
      </c>
      <c r="FJ16" t="e">
        <f>AND('3'!#REF!,"AAAAAH/9v6U=")</f>
        <v>#REF!</v>
      </c>
      <c r="FK16" t="e">
        <f>AND('3'!#REF!,"AAAAAH/9v6Y=")</f>
        <v>#REF!</v>
      </c>
      <c r="FL16" t="e">
        <f>AND('3'!#REF!,"AAAAAH/9v6c=")</f>
        <v>#REF!</v>
      </c>
      <c r="FM16" t="e">
        <f>AND('3'!#REF!,"AAAAAH/9v6g=")</f>
        <v>#REF!</v>
      </c>
      <c r="FN16" t="e">
        <f>AND('3'!#REF!,"AAAAAH/9v6k=")</f>
        <v>#REF!</v>
      </c>
      <c r="FO16" t="e">
        <f>AND('3'!#REF!,"AAAAAH/9v6o=")</f>
        <v>#REF!</v>
      </c>
      <c r="FP16" t="e">
        <f>AND('3'!#REF!,"AAAAAH/9v6s=")</f>
        <v>#REF!</v>
      </c>
      <c r="FQ16" t="e">
        <f>AND('3'!#REF!,"AAAAAH/9v6w=")</f>
        <v>#REF!</v>
      </c>
      <c r="FR16" t="e">
        <f>AND('3'!#REF!,"AAAAAH/9v60=")</f>
        <v>#REF!</v>
      </c>
      <c r="FS16" t="e">
        <f>AND('3'!#REF!,"AAAAAH/9v64=")</f>
        <v>#REF!</v>
      </c>
      <c r="FT16" t="e">
        <f>AND('3'!#REF!,"AAAAAH/9v68=")</f>
        <v>#REF!</v>
      </c>
      <c r="FU16" t="e">
        <f>AND('3'!#REF!,"AAAAAH/9v7A=")</f>
        <v>#REF!</v>
      </c>
      <c r="FV16" t="e">
        <f>AND('3'!#REF!,"AAAAAH/9v7E=")</f>
        <v>#REF!</v>
      </c>
      <c r="FW16" t="e">
        <f>AND('3'!#REF!,"AAAAAH/9v7I=")</f>
        <v>#REF!</v>
      </c>
      <c r="FX16" t="e">
        <f>IF('3'!#REF!,"AAAAAH/9v7M=",0)</f>
        <v>#REF!</v>
      </c>
      <c r="FY16" t="e">
        <f>AND('3'!#REF!,"AAAAAH/9v7Q=")</f>
        <v>#REF!</v>
      </c>
      <c r="FZ16" t="e">
        <f>AND('3'!#REF!,"AAAAAH/9v7U=")</f>
        <v>#REF!</v>
      </c>
      <c r="GA16" t="e">
        <f>AND('3'!#REF!,"AAAAAH/9v7Y=")</f>
        <v>#REF!</v>
      </c>
      <c r="GB16" t="e">
        <f>AND('3'!#REF!,"AAAAAH/9v7c=")</f>
        <v>#REF!</v>
      </c>
      <c r="GC16" t="e">
        <f>AND('3'!#REF!,"AAAAAH/9v7g=")</f>
        <v>#REF!</v>
      </c>
      <c r="GD16" t="e">
        <f>AND('3'!#REF!,"AAAAAH/9v7k=")</f>
        <v>#REF!</v>
      </c>
      <c r="GE16" t="e">
        <f>AND('3'!#REF!,"AAAAAH/9v7o=")</f>
        <v>#REF!</v>
      </c>
      <c r="GF16" t="e">
        <f>AND('3'!#REF!,"AAAAAH/9v7s=")</f>
        <v>#REF!</v>
      </c>
      <c r="GG16" t="e">
        <f>AND('3'!#REF!,"AAAAAH/9v7w=")</f>
        <v>#REF!</v>
      </c>
      <c r="GH16" t="e">
        <f>AND('3'!#REF!,"AAAAAH/9v70=")</f>
        <v>#REF!</v>
      </c>
      <c r="GI16" t="e">
        <f>AND('3'!#REF!,"AAAAAH/9v74=")</f>
        <v>#REF!</v>
      </c>
      <c r="GJ16" t="e">
        <f>AND('3'!#REF!,"AAAAAH/9v78=")</f>
        <v>#REF!</v>
      </c>
      <c r="GK16" t="e">
        <f>AND('3'!#REF!,"AAAAAH/9v8A=")</f>
        <v>#REF!</v>
      </c>
      <c r="GL16" t="e">
        <f>AND('3'!#REF!,"AAAAAH/9v8E=")</f>
        <v>#REF!</v>
      </c>
      <c r="GM16" t="e">
        <f>IF('3'!#REF!,"AAAAAH/9v8I=",0)</f>
        <v>#REF!</v>
      </c>
      <c r="GN16" t="e">
        <f>AND('3'!#REF!,"AAAAAH/9v8M=")</f>
        <v>#REF!</v>
      </c>
      <c r="GO16" t="e">
        <f>AND('3'!#REF!,"AAAAAH/9v8Q=")</f>
        <v>#REF!</v>
      </c>
      <c r="GP16" t="e">
        <f>AND('3'!#REF!,"AAAAAH/9v8U=")</f>
        <v>#REF!</v>
      </c>
      <c r="GQ16" t="e">
        <f>AND('3'!#REF!,"AAAAAH/9v8Y=")</f>
        <v>#REF!</v>
      </c>
      <c r="GR16" t="e">
        <f>AND('3'!#REF!,"AAAAAH/9v8c=")</f>
        <v>#REF!</v>
      </c>
      <c r="GS16" t="e">
        <f>AND('3'!#REF!,"AAAAAH/9v8g=")</f>
        <v>#REF!</v>
      </c>
      <c r="GT16" t="e">
        <f>AND('3'!#REF!,"AAAAAH/9v8k=")</f>
        <v>#REF!</v>
      </c>
      <c r="GU16" t="e">
        <f>AND('3'!#REF!,"AAAAAH/9v8o=")</f>
        <v>#REF!</v>
      </c>
      <c r="GV16" t="e">
        <f>AND('3'!#REF!,"AAAAAH/9v8s=")</f>
        <v>#REF!</v>
      </c>
      <c r="GW16" t="e">
        <f>AND('3'!#REF!,"AAAAAH/9v8w=")</f>
        <v>#REF!</v>
      </c>
      <c r="GX16" t="e">
        <f>AND('3'!#REF!,"AAAAAH/9v80=")</f>
        <v>#REF!</v>
      </c>
      <c r="GY16" t="e">
        <f>AND('3'!#REF!,"AAAAAH/9v84=")</f>
        <v>#REF!</v>
      </c>
      <c r="GZ16" t="e">
        <f>AND('3'!#REF!,"AAAAAH/9v88=")</f>
        <v>#REF!</v>
      </c>
      <c r="HA16" t="e">
        <f>AND('3'!#REF!,"AAAAAH/9v9A=")</f>
        <v>#REF!</v>
      </c>
      <c r="HB16" t="e">
        <f>IF('3'!#REF!,"AAAAAH/9v9E=",0)</f>
        <v>#REF!</v>
      </c>
      <c r="HC16" t="e">
        <f>AND('3'!#REF!,"AAAAAH/9v9I=")</f>
        <v>#REF!</v>
      </c>
      <c r="HD16" t="e">
        <f>AND('3'!#REF!,"AAAAAH/9v9M=")</f>
        <v>#REF!</v>
      </c>
      <c r="HE16" t="e">
        <f>AND('3'!#REF!,"AAAAAH/9v9Q=")</f>
        <v>#REF!</v>
      </c>
      <c r="HF16" t="e">
        <f>AND('3'!#REF!,"AAAAAH/9v9U=")</f>
        <v>#REF!</v>
      </c>
      <c r="HG16" t="e">
        <f>AND('3'!#REF!,"AAAAAH/9v9Y=")</f>
        <v>#REF!</v>
      </c>
      <c r="HH16" t="e">
        <f>AND('3'!#REF!,"AAAAAH/9v9c=")</f>
        <v>#REF!</v>
      </c>
      <c r="HI16" t="e">
        <f>AND('3'!#REF!,"AAAAAH/9v9g=")</f>
        <v>#REF!</v>
      </c>
      <c r="HJ16" t="e">
        <f>AND('3'!#REF!,"AAAAAH/9v9k=")</f>
        <v>#REF!</v>
      </c>
      <c r="HK16" t="e">
        <f>AND('3'!#REF!,"AAAAAH/9v9o=")</f>
        <v>#REF!</v>
      </c>
      <c r="HL16" t="e">
        <f>AND('3'!#REF!,"AAAAAH/9v9s=")</f>
        <v>#REF!</v>
      </c>
      <c r="HM16" t="e">
        <f>AND('3'!#REF!,"AAAAAH/9v9w=")</f>
        <v>#REF!</v>
      </c>
      <c r="HN16" t="e">
        <f>AND('3'!#REF!,"AAAAAH/9v90=")</f>
        <v>#REF!</v>
      </c>
      <c r="HO16" t="e">
        <f>AND('3'!#REF!,"AAAAAH/9v94=")</f>
        <v>#REF!</v>
      </c>
      <c r="HP16" t="e">
        <f>AND('3'!#REF!,"AAAAAH/9v98=")</f>
        <v>#REF!</v>
      </c>
      <c r="HQ16" t="e">
        <f>IF('3'!#REF!,"AAAAAH/9v+A=",0)</f>
        <v>#REF!</v>
      </c>
      <c r="HR16" t="e">
        <f>AND('3'!#REF!,"AAAAAH/9v+E=")</f>
        <v>#REF!</v>
      </c>
      <c r="HS16" t="e">
        <f>AND('3'!#REF!,"AAAAAH/9v+I=")</f>
        <v>#REF!</v>
      </c>
      <c r="HT16" t="e">
        <f>AND('3'!#REF!,"AAAAAH/9v+M=")</f>
        <v>#REF!</v>
      </c>
      <c r="HU16" t="e">
        <f>AND('3'!#REF!,"AAAAAH/9v+Q=")</f>
        <v>#REF!</v>
      </c>
      <c r="HV16" t="e">
        <f>AND('3'!#REF!,"AAAAAH/9v+U=")</f>
        <v>#REF!</v>
      </c>
      <c r="HW16" t="e">
        <f>AND('3'!#REF!,"AAAAAH/9v+Y=")</f>
        <v>#REF!</v>
      </c>
      <c r="HX16" t="e">
        <f>AND('3'!#REF!,"AAAAAH/9v+c=")</f>
        <v>#REF!</v>
      </c>
      <c r="HY16" t="e">
        <f>AND('3'!#REF!,"AAAAAH/9v+g=")</f>
        <v>#REF!</v>
      </c>
      <c r="HZ16" t="e">
        <f>AND('3'!#REF!,"AAAAAH/9v+k=")</f>
        <v>#REF!</v>
      </c>
      <c r="IA16" t="e">
        <f>AND('3'!#REF!,"AAAAAH/9v+o=")</f>
        <v>#REF!</v>
      </c>
      <c r="IB16" t="e">
        <f>AND('3'!#REF!,"AAAAAH/9v+s=")</f>
        <v>#REF!</v>
      </c>
      <c r="IC16" t="e">
        <f>AND('3'!#REF!,"AAAAAH/9v+w=")</f>
        <v>#REF!</v>
      </c>
      <c r="ID16" t="e">
        <f>AND('3'!#REF!,"AAAAAH/9v+0=")</f>
        <v>#REF!</v>
      </c>
      <c r="IE16" t="e">
        <f>AND('3'!#REF!,"AAAAAH/9v+4=")</f>
        <v>#REF!</v>
      </c>
      <c r="IF16" t="e">
        <f>IF('3'!#REF!,"AAAAAH/9v+8=",0)</f>
        <v>#REF!</v>
      </c>
      <c r="IG16" t="e">
        <f>AND('3'!#REF!,"AAAAAH/9v/A=")</f>
        <v>#REF!</v>
      </c>
      <c r="IH16" t="e">
        <f>AND('3'!#REF!,"AAAAAH/9v/E=")</f>
        <v>#REF!</v>
      </c>
      <c r="II16" t="e">
        <f>AND('3'!#REF!,"AAAAAH/9v/I=")</f>
        <v>#REF!</v>
      </c>
      <c r="IJ16" t="e">
        <f>AND('3'!#REF!,"AAAAAH/9v/M=")</f>
        <v>#REF!</v>
      </c>
      <c r="IK16" t="e">
        <f>AND('3'!#REF!,"AAAAAH/9v/Q=")</f>
        <v>#REF!</v>
      </c>
      <c r="IL16" t="e">
        <f>AND('3'!#REF!,"AAAAAH/9v/U=")</f>
        <v>#REF!</v>
      </c>
      <c r="IM16" t="e">
        <f>AND('3'!#REF!,"AAAAAH/9v/Y=")</f>
        <v>#REF!</v>
      </c>
      <c r="IN16" t="e">
        <f>AND('3'!#REF!,"AAAAAH/9v/c=")</f>
        <v>#REF!</v>
      </c>
      <c r="IO16" t="e">
        <f>AND('3'!#REF!,"AAAAAH/9v/g=")</f>
        <v>#REF!</v>
      </c>
      <c r="IP16" t="e">
        <f>AND('3'!#REF!,"AAAAAH/9v/k=")</f>
        <v>#REF!</v>
      </c>
      <c r="IQ16" t="e">
        <f>AND('3'!#REF!,"AAAAAH/9v/o=")</f>
        <v>#REF!</v>
      </c>
      <c r="IR16" t="e">
        <f>AND('3'!#REF!,"AAAAAH/9v/s=")</f>
        <v>#REF!</v>
      </c>
      <c r="IS16" t="e">
        <f>AND('3'!#REF!,"AAAAAH/9v/w=")</f>
        <v>#REF!</v>
      </c>
      <c r="IT16" t="e">
        <f>AND('3'!#REF!,"AAAAAH/9v/0=")</f>
        <v>#REF!</v>
      </c>
      <c r="IU16" t="e">
        <f>IF('3'!#REF!,"AAAAAH/9v/4=",0)</f>
        <v>#REF!</v>
      </c>
      <c r="IV16" t="e">
        <f>AND('3'!#REF!,"AAAAAH/9v/8=")</f>
        <v>#REF!</v>
      </c>
    </row>
    <row r="17" spans="1:256" x14ac:dyDescent="0.25">
      <c r="A17" t="e">
        <f>AND('3'!#REF!,"AAAAAHtTtgA=")</f>
        <v>#REF!</v>
      </c>
      <c r="B17" t="e">
        <f>AND('3'!#REF!,"AAAAAHtTtgE=")</f>
        <v>#REF!</v>
      </c>
      <c r="C17" t="e">
        <f>AND('3'!#REF!,"AAAAAHtTtgI=")</f>
        <v>#REF!</v>
      </c>
      <c r="D17" t="e">
        <f>AND('3'!#REF!,"AAAAAHtTtgM=")</f>
        <v>#REF!</v>
      </c>
      <c r="E17" t="e">
        <f>AND('3'!#REF!,"AAAAAHtTtgQ=")</f>
        <v>#REF!</v>
      </c>
      <c r="F17" t="e">
        <f>AND('3'!#REF!,"AAAAAHtTtgU=")</f>
        <v>#REF!</v>
      </c>
      <c r="G17" t="e">
        <f>AND('3'!#REF!,"AAAAAHtTtgY=")</f>
        <v>#REF!</v>
      </c>
      <c r="H17" t="e">
        <f>AND('3'!#REF!,"AAAAAHtTtgc=")</f>
        <v>#REF!</v>
      </c>
      <c r="I17" t="e">
        <f>AND('3'!#REF!,"AAAAAHtTtgg=")</f>
        <v>#REF!</v>
      </c>
      <c r="J17" t="e">
        <f>AND('3'!#REF!,"AAAAAHtTtgk=")</f>
        <v>#REF!</v>
      </c>
      <c r="K17" t="e">
        <f>AND('3'!#REF!,"AAAAAHtTtgo=")</f>
        <v>#REF!</v>
      </c>
      <c r="L17" t="e">
        <f>AND('3'!#REF!,"AAAAAHtTtgs=")</f>
        <v>#REF!</v>
      </c>
      <c r="M17" t="e">
        <f>AND('3'!#REF!,"AAAAAHtTtgw=")</f>
        <v>#REF!</v>
      </c>
      <c r="N17" t="e">
        <f>IF('3'!#REF!,"AAAAAHtTtg0=",0)</f>
        <v>#REF!</v>
      </c>
      <c r="O17" t="e">
        <f>AND('3'!#REF!,"AAAAAHtTtg4=")</f>
        <v>#REF!</v>
      </c>
      <c r="P17" t="e">
        <f>AND('3'!#REF!,"AAAAAHtTtg8=")</f>
        <v>#REF!</v>
      </c>
      <c r="Q17" t="e">
        <f>AND('3'!#REF!,"AAAAAHtTthA=")</f>
        <v>#REF!</v>
      </c>
      <c r="R17" t="e">
        <f>AND('3'!#REF!,"AAAAAHtTthE=")</f>
        <v>#REF!</v>
      </c>
      <c r="S17" t="e">
        <f>AND('3'!#REF!,"AAAAAHtTthI=")</f>
        <v>#REF!</v>
      </c>
      <c r="T17" t="e">
        <f>AND('3'!#REF!,"AAAAAHtTthM=")</f>
        <v>#REF!</v>
      </c>
      <c r="U17" t="e">
        <f>AND('3'!#REF!,"AAAAAHtTthQ=")</f>
        <v>#REF!</v>
      </c>
      <c r="V17" t="e">
        <f>AND('3'!#REF!,"AAAAAHtTthU=")</f>
        <v>#REF!</v>
      </c>
      <c r="W17" t="e">
        <f>AND('3'!#REF!,"AAAAAHtTthY=")</f>
        <v>#REF!</v>
      </c>
      <c r="X17" t="e">
        <f>AND('3'!#REF!,"AAAAAHtTthc=")</f>
        <v>#REF!</v>
      </c>
      <c r="Y17" t="e">
        <f>AND('3'!#REF!,"AAAAAHtTthg=")</f>
        <v>#REF!</v>
      </c>
      <c r="Z17" t="e">
        <f>AND('3'!#REF!,"AAAAAHtTthk=")</f>
        <v>#REF!</v>
      </c>
      <c r="AA17" t="e">
        <f>AND('3'!#REF!,"AAAAAHtTtho=")</f>
        <v>#REF!</v>
      </c>
      <c r="AB17" t="e">
        <f>AND('3'!#REF!,"AAAAAHtTths=")</f>
        <v>#REF!</v>
      </c>
      <c r="AC17" t="e">
        <f>IF('3'!#REF!,"AAAAAHtTthw=",0)</f>
        <v>#REF!</v>
      </c>
      <c r="AD17" t="e">
        <f>AND('3'!#REF!,"AAAAAHtTth0=")</f>
        <v>#REF!</v>
      </c>
      <c r="AE17" t="e">
        <f>AND('3'!#REF!,"AAAAAHtTth4=")</f>
        <v>#REF!</v>
      </c>
      <c r="AF17" t="e">
        <f>AND('3'!#REF!,"AAAAAHtTth8=")</f>
        <v>#REF!</v>
      </c>
      <c r="AG17" t="e">
        <f>AND('3'!#REF!,"AAAAAHtTtiA=")</f>
        <v>#REF!</v>
      </c>
      <c r="AH17" t="e">
        <f>AND('3'!#REF!,"AAAAAHtTtiE=")</f>
        <v>#REF!</v>
      </c>
      <c r="AI17" t="e">
        <f>AND('3'!#REF!,"AAAAAHtTtiI=")</f>
        <v>#REF!</v>
      </c>
      <c r="AJ17" t="e">
        <f>AND('3'!#REF!,"AAAAAHtTtiM=")</f>
        <v>#REF!</v>
      </c>
      <c r="AK17" t="e">
        <f>AND('3'!#REF!,"AAAAAHtTtiQ=")</f>
        <v>#REF!</v>
      </c>
      <c r="AL17" t="e">
        <f>AND('3'!#REF!,"AAAAAHtTtiU=")</f>
        <v>#REF!</v>
      </c>
      <c r="AM17" t="e">
        <f>AND('3'!#REF!,"AAAAAHtTtiY=")</f>
        <v>#REF!</v>
      </c>
      <c r="AN17" t="e">
        <f>AND('3'!#REF!,"AAAAAHtTtic=")</f>
        <v>#REF!</v>
      </c>
      <c r="AO17" t="e">
        <f>AND('3'!#REF!,"AAAAAHtTtig=")</f>
        <v>#REF!</v>
      </c>
      <c r="AP17" t="e">
        <f>AND('3'!#REF!,"AAAAAHtTtik=")</f>
        <v>#REF!</v>
      </c>
      <c r="AQ17" t="e">
        <f>AND('3'!#REF!,"AAAAAHtTtio=")</f>
        <v>#REF!</v>
      </c>
      <c r="AR17" t="e">
        <f>IF('3'!#REF!,"AAAAAHtTtis=",0)</f>
        <v>#REF!</v>
      </c>
      <c r="AS17" t="e">
        <f>AND('3'!#REF!,"AAAAAHtTtiw=")</f>
        <v>#REF!</v>
      </c>
      <c r="AT17" t="e">
        <f>AND('3'!#REF!,"AAAAAHtTti0=")</f>
        <v>#REF!</v>
      </c>
      <c r="AU17" t="e">
        <f>AND('3'!#REF!,"AAAAAHtTti4=")</f>
        <v>#REF!</v>
      </c>
      <c r="AV17" t="e">
        <f>AND('3'!#REF!,"AAAAAHtTti8=")</f>
        <v>#REF!</v>
      </c>
      <c r="AW17" t="e">
        <f>AND('3'!#REF!,"AAAAAHtTtjA=")</f>
        <v>#REF!</v>
      </c>
      <c r="AX17" t="e">
        <f>AND('3'!#REF!,"AAAAAHtTtjE=")</f>
        <v>#REF!</v>
      </c>
      <c r="AY17" t="e">
        <f>AND('3'!#REF!,"AAAAAHtTtjI=")</f>
        <v>#REF!</v>
      </c>
      <c r="AZ17" t="e">
        <f>AND('3'!#REF!,"AAAAAHtTtjM=")</f>
        <v>#REF!</v>
      </c>
      <c r="BA17" t="e">
        <f>AND('3'!#REF!,"AAAAAHtTtjQ=")</f>
        <v>#REF!</v>
      </c>
      <c r="BB17" t="e">
        <f>AND('3'!#REF!,"AAAAAHtTtjU=")</f>
        <v>#REF!</v>
      </c>
      <c r="BC17" t="e">
        <f>AND('3'!#REF!,"AAAAAHtTtjY=")</f>
        <v>#REF!</v>
      </c>
      <c r="BD17" t="e">
        <f>AND('3'!#REF!,"AAAAAHtTtjc=")</f>
        <v>#REF!</v>
      </c>
      <c r="BE17" t="e">
        <f>AND('3'!#REF!,"AAAAAHtTtjg=")</f>
        <v>#REF!</v>
      </c>
      <c r="BF17" t="e">
        <f>AND('3'!#REF!,"AAAAAHtTtjk=")</f>
        <v>#REF!</v>
      </c>
      <c r="BG17" t="e">
        <f>IF('3'!#REF!,"AAAAAHtTtjo=",0)</f>
        <v>#REF!</v>
      </c>
      <c r="BH17" t="e">
        <f>AND('3'!#REF!,"AAAAAHtTtjs=")</f>
        <v>#REF!</v>
      </c>
      <c r="BI17" t="e">
        <f>AND('3'!#REF!,"AAAAAHtTtjw=")</f>
        <v>#REF!</v>
      </c>
      <c r="BJ17" t="e">
        <f>AND('3'!#REF!,"AAAAAHtTtj0=")</f>
        <v>#REF!</v>
      </c>
      <c r="BK17" t="e">
        <f>AND('3'!#REF!,"AAAAAHtTtj4=")</f>
        <v>#REF!</v>
      </c>
      <c r="BL17" t="e">
        <f>AND('3'!#REF!,"AAAAAHtTtj8=")</f>
        <v>#REF!</v>
      </c>
      <c r="BM17" t="e">
        <f>AND('3'!#REF!,"AAAAAHtTtkA=")</f>
        <v>#REF!</v>
      </c>
      <c r="BN17" t="e">
        <f>AND('3'!#REF!,"AAAAAHtTtkE=")</f>
        <v>#REF!</v>
      </c>
      <c r="BO17" t="e">
        <f>AND('3'!#REF!,"AAAAAHtTtkI=")</f>
        <v>#REF!</v>
      </c>
      <c r="BP17" t="e">
        <f>AND('3'!#REF!,"AAAAAHtTtkM=")</f>
        <v>#REF!</v>
      </c>
      <c r="BQ17" t="e">
        <f>AND('3'!#REF!,"AAAAAHtTtkQ=")</f>
        <v>#REF!</v>
      </c>
      <c r="BR17" t="e">
        <f>AND('3'!#REF!,"AAAAAHtTtkU=")</f>
        <v>#REF!</v>
      </c>
      <c r="BS17" t="e">
        <f>AND('3'!#REF!,"AAAAAHtTtkY=")</f>
        <v>#REF!</v>
      </c>
      <c r="BT17" t="e">
        <f>AND('3'!#REF!,"AAAAAHtTtkc=")</f>
        <v>#REF!</v>
      </c>
      <c r="BU17" t="e">
        <f>AND('3'!#REF!,"AAAAAHtTtkg=")</f>
        <v>#REF!</v>
      </c>
      <c r="BV17" t="e">
        <f>IF('3'!#REF!,"AAAAAHtTtkk=",0)</f>
        <v>#REF!</v>
      </c>
      <c r="BW17" t="e">
        <f>AND('3'!#REF!,"AAAAAHtTtko=")</f>
        <v>#REF!</v>
      </c>
      <c r="BX17" t="e">
        <f>AND('3'!#REF!,"AAAAAHtTtks=")</f>
        <v>#REF!</v>
      </c>
      <c r="BY17" t="e">
        <f>AND('3'!#REF!,"AAAAAHtTtkw=")</f>
        <v>#REF!</v>
      </c>
      <c r="BZ17" t="e">
        <f>AND('3'!#REF!,"AAAAAHtTtk0=")</f>
        <v>#REF!</v>
      </c>
      <c r="CA17" t="e">
        <f>AND('3'!#REF!,"AAAAAHtTtk4=")</f>
        <v>#REF!</v>
      </c>
      <c r="CB17" t="e">
        <f>AND('3'!#REF!,"AAAAAHtTtk8=")</f>
        <v>#REF!</v>
      </c>
      <c r="CC17" t="e">
        <f>AND('3'!#REF!,"AAAAAHtTtlA=")</f>
        <v>#REF!</v>
      </c>
      <c r="CD17" t="e">
        <f>AND('3'!#REF!,"AAAAAHtTtlE=")</f>
        <v>#REF!</v>
      </c>
      <c r="CE17" t="e">
        <f>AND('3'!#REF!,"AAAAAHtTtlI=")</f>
        <v>#REF!</v>
      </c>
      <c r="CF17" t="e">
        <f>AND('3'!#REF!,"AAAAAHtTtlM=")</f>
        <v>#REF!</v>
      </c>
      <c r="CG17" t="e">
        <f>AND('3'!#REF!,"AAAAAHtTtlQ=")</f>
        <v>#REF!</v>
      </c>
      <c r="CH17" t="e">
        <f>AND('3'!#REF!,"AAAAAHtTtlU=")</f>
        <v>#REF!</v>
      </c>
      <c r="CI17" t="e">
        <f>AND('3'!#REF!,"AAAAAHtTtlY=")</f>
        <v>#REF!</v>
      </c>
      <c r="CJ17" t="e">
        <f>AND('3'!#REF!,"AAAAAHtTtlc=")</f>
        <v>#REF!</v>
      </c>
      <c r="CK17" t="e">
        <f>IF('3'!#REF!,"AAAAAHtTtlg=",0)</f>
        <v>#REF!</v>
      </c>
      <c r="CL17" t="e">
        <f>AND('3'!#REF!,"AAAAAHtTtlk=")</f>
        <v>#REF!</v>
      </c>
      <c r="CM17" t="e">
        <f>AND('3'!#REF!,"AAAAAHtTtlo=")</f>
        <v>#REF!</v>
      </c>
      <c r="CN17" t="e">
        <f>AND('3'!#REF!,"AAAAAHtTtls=")</f>
        <v>#REF!</v>
      </c>
      <c r="CO17" t="e">
        <f>AND('3'!#REF!,"AAAAAHtTtlw=")</f>
        <v>#REF!</v>
      </c>
      <c r="CP17" t="e">
        <f>AND('3'!#REF!,"AAAAAHtTtl0=")</f>
        <v>#REF!</v>
      </c>
      <c r="CQ17" t="e">
        <f>AND('3'!#REF!,"AAAAAHtTtl4=")</f>
        <v>#REF!</v>
      </c>
      <c r="CR17" t="e">
        <f>AND('3'!#REF!,"AAAAAHtTtl8=")</f>
        <v>#REF!</v>
      </c>
      <c r="CS17" t="e">
        <f>AND('3'!#REF!,"AAAAAHtTtmA=")</f>
        <v>#REF!</v>
      </c>
      <c r="CT17" t="e">
        <f>AND('3'!#REF!,"AAAAAHtTtmE=")</f>
        <v>#REF!</v>
      </c>
      <c r="CU17" t="e">
        <f>AND('3'!#REF!,"AAAAAHtTtmI=")</f>
        <v>#REF!</v>
      </c>
      <c r="CV17" t="e">
        <f>AND('3'!#REF!,"AAAAAHtTtmM=")</f>
        <v>#REF!</v>
      </c>
      <c r="CW17" t="e">
        <f>AND('3'!#REF!,"AAAAAHtTtmQ=")</f>
        <v>#REF!</v>
      </c>
      <c r="CX17" t="e">
        <f>AND('3'!#REF!,"AAAAAHtTtmU=")</f>
        <v>#REF!</v>
      </c>
      <c r="CY17" t="e">
        <f>AND('3'!#REF!,"AAAAAHtTtmY=")</f>
        <v>#REF!</v>
      </c>
      <c r="CZ17" t="e">
        <f>IF('3'!#REF!,"AAAAAHtTtmc=",0)</f>
        <v>#REF!</v>
      </c>
      <c r="DA17" t="e">
        <f>AND('3'!#REF!,"AAAAAHtTtmg=")</f>
        <v>#REF!</v>
      </c>
      <c r="DB17" t="e">
        <f>AND('3'!#REF!,"AAAAAHtTtmk=")</f>
        <v>#REF!</v>
      </c>
      <c r="DC17" t="e">
        <f>AND('3'!#REF!,"AAAAAHtTtmo=")</f>
        <v>#REF!</v>
      </c>
      <c r="DD17" t="e">
        <f>AND('3'!#REF!,"AAAAAHtTtms=")</f>
        <v>#REF!</v>
      </c>
      <c r="DE17" t="e">
        <f>AND('3'!#REF!,"AAAAAHtTtmw=")</f>
        <v>#REF!</v>
      </c>
      <c r="DF17" t="e">
        <f>AND('3'!#REF!,"AAAAAHtTtm0=")</f>
        <v>#REF!</v>
      </c>
      <c r="DG17" t="e">
        <f>AND('3'!#REF!,"AAAAAHtTtm4=")</f>
        <v>#REF!</v>
      </c>
      <c r="DH17" t="e">
        <f>AND('3'!#REF!,"AAAAAHtTtm8=")</f>
        <v>#REF!</v>
      </c>
      <c r="DI17" t="e">
        <f>AND('3'!#REF!,"AAAAAHtTtnA=")</f>
        <v>#REF!</v>
      </c>
      <c r="DJ17" t="e">
        <f>AND('3'!#REF!,"AAAAAHtTtnE=")</f>
        <v>#REF!</v>
      </c>
      <c r="DK17" t="e">
        <f>AND('3'!#REF!,"AAAAAHtTtnI=")</f>
        <v>#REF!</v>
      </c>
      <c r="DL17" t="e">
        <f>AND('3'!#REF!,"AAAAAHtTtnM=")</f>
        <v>#REF!</v>
      </c>
      <c r="DM17" t="e">
        <f>AND('3'!#REF!,"AAAAAHtTtnQ=")</f>
        <v>#REF!</v>
      </c>
      <c r="DN17" t="e">
        <f>AND('3'!#REF!,"AAAAAHtTtnU=")</f>
        <v>#REF!</v>
      </c>
      <c r="DO17" t="e">
        <f>IF('3'!#REF!,"AAAAAHtTtnY=",0)</f>
        <v>#REF!</v>
      </c>
      <c r="DP17" t="e">
        <f>AND('3'!#REF!,"AAAAAHtTtnc=")</f>
        <v>#REF!</v>
      </c>
      <c r="DQ17" t="e">
        <f>AND('3'!#REF!,"AAAAAHtTtng=")</f>
        <v>#REF!</v>
      </c>
      <c r="DR17" t="e">
        <f>AND('3'!#REF!,"AAAAAHtTtnk=")</f>
        <v>#REF!</v>
      </c>
      <c r="DS17" t="e">
        <f>AND('3'!#REF!,"AAAAAHtTtno=")</f>
        <v>#REF!</v>
      </c>
      <c r="DT17" t="e">
        <f>AND('3'!#REF!,"AAAAAHtTtns=")</f>
        <v>#REF!</v>
      </c>
      <c r="DU17" t="e">
        <f>AND('3'!#REF!,"AAAAAHtTtnw=")</f>
        <v>#REF!</v>
      </c>
      <c r="DV17" t="e">
        <f>AND('3'!#REF!,"AAAAAHtTtn0=")</f>
        <v>#REF!</v>
      </c>
      <c r="DW17" t="e">
        <f>AND('3'!#REF!,"AAAAAHtTtn4=")</f>
        <v>#REF!</v>
      </c>
      <c r="DX17" t="e">
        <f>AND('3'!#REF!,"AAAAAHtTtn8=")</f>
        <v>#REF!</v>
      </c>
      <c r="DY17" t="e">
        <f>AND('3'!#REF!,"AAAAAHtTtoA=")</f>
        <v>#REF!</v>
      </c>
      <c r="DZ17" t="e">
        <f>AND('3'!#REF!,"AAAAAHtTtoE=")</f>
        <v>#REF!</v>
      </c>
      <c r="EA17" t="e">
        <f>AND('3'!#REF!,"AAAAAHtTtoI=")</f>
        <v>#REF!</v>
      </c>
      <c r="EB17" t="e">
        <f>AND('3'!#REF!,"AAAAAHtTtoM=")</f>
        <v>#REF!</v>
      </c>
      <c r="EC17" t="e">
        <f>AND('3'!#REF!,"AAAAAHtTtoQ=")</f>
        <v>#REF!</v>
      </c>
      <c r="ED17" t="e">
        <f>IF('3'!#REF!,"AAAAAHtTtoU=",0)</f>
        <v>#REF!</v>
      </c>
      <c r="EE17" t="e">
        <f>AND('3'!#REF!,"AAAAAHtTtoY=")</f>
        <v>#REF!</v>
      </c>
      <c r="EF17" t="e">
        <f>AND('3'!#REF!,"AAAAAHtTtoc=")</f>
        <v>#REF!</v>
      </c>
      <c r="EG17" t="e">
        <f>AND('3'!#REF!,"AAAAAHtTtog=")</f>
        <v>#REF!</v>
      </c>
      <c r="EH17" t="e">
        <f>AND('3'!#REF!,"AAAAAHtTtok=")</f>
        <v>#REF!</v>
      </c>
      <c r="EI17" t="e">
        <f>AND('3'!#REF!,"AAAAAHtTtoo=")</f>
        <v>#REF!</v>
      </c>
      <c r="EJ17" t="e">
        <f>AND('3'!#REF!,"AAAAAHtTtos=")</f>
        <v>#REF!</v>
      </c>
      <c r="EK17" t="e">
        <f>AND('3'!#REF!,"AAAAAHtTtow=")</f>
        <v>#REF!</v>
      </c>
      <c r="EL17" t="e">
        <f>AND('3'!#REF!,"AAAAAHtTto0=")</f>
        <v>#REF!</v>
      </c>
      <c r="EM17" t="e">
        <f>AND('3'!#REF!,"AAAAAHtTto4=")</f>
        <v>#REF!</v>
      </c>
      <c r="EN17" t="e">
        <f>AND('3'!#REF!,"AAAAAHtTto8=")</f>
        <v>#REF!</v>
      </c>
      <c r="EO17" t="e">
        <f>AND('3'!#REF!,"AAAAAHtTtpA=")</f>
        <v>#REF!</v>
      </c>
      <c r="EP17" t="e">
        <f>AND('3'!#REF!,"AAAAAHtTtpE=")</f>
        <v>#REF!</v>
      </c>
      <c r="EQ17" t="e">
        <f>AND('3'!#REF!,"AAAAAHtTtpI=")</f>
        <v>#REF!</v>
      </c>
      <c r="ER17" t="e">
        <f>AND('3'!#REF!,"AAAAAHtTtpM=")</f>
        <v>#REF!</v>
      </c>
      <c r="ES17" t="e">
        <f>IF('3'!#REF!,"AAAAAHtTtpQ=",0)</f>
        <v>#REF!</v>
      </c>
      <c r="ET17" t="e">
        <f>AND('3'!#REF!,"AAAAAHtTtpU=")</f>
        <v>#REF!</v>
      </c>
      <c r="EU17" t="e">
        <f>AND('3'!#REF!,"AAAAAHtTtpY=")</f>
        <v>#REF!</v>
      </c>
      <c r="EV17" t="e">
        <f>AND('3'!#REF!,"AAAAAHtTtpc=")</f>
        <v>#REF!</v>
      </c>
      <c r="EW17" t="e">
        <f>AND('3'!#REF!,"AAAAAHtTtpg=")</f>
        <v>#REF!</v>
      </c>
      <c r="EX17" t="e">
        <f>AND('3'!#REF!,"AAAAAHtTtpk=")</f>
        <v>#REF!</v>
      </c>
      <c r="EY17" t="e">
        <f>AND('3'!#REF!,"AAAAAHtTtpo=")</f>
        <v>#REF!</v>
      </c>
      <c r="EZ17" t="e">
        <f>AND('3'!#REF!,"AAAAAHtTtps=")</f>
        <v>#REF!</v>
      </c>
      <c r="FA17" t="e">
        <f>AND('3'!#REF!,"AAAAAHtTtpw=")</f>
        <v>#REF!</v>
      </c>
      <c r="FB17" t="e">
        <f>AND('3'!#REF!,"AAAAAHtTtp0=")</f>
        <v>#REF!</v>
      </c>
      <c r="FC17" t="e">
        <f>AND('3'!#REF!,"AAAAAHtTtp4=")</f>
        <v>#REF!</v>
      </c>
      <c r="FD17" t="e">
        <f>AND('3'!#REF!,"AAAAAHtTtp8=")</f>
        <v>#REF!</v>
      </c>
      <c r="FE17" t="e">
        <f>AND('3'!#REF!,"AAAAAHtTtqA=")</f>
        <v>#REF!</v>
      </c>
      <c r="FF17" t="e">
        <f>AND('3'!#REF!,"AAAAAHtTtqE=")</f>
        <v>#REF!</v>
      </c>
      <c r="FG17" t="e">
        <f>AND('3'!#REF!,"AAAAAHtTtqI=")</f>
        <v>#REF!</v>
      </c>
      <c r="FH17" t="e">
        <f>IF('3'!#REF!,"AAAAAHtTtqM=",0)</f>
        <v>#REF!</v>
      </c>
      <c r="FI17" t="e">
        <f>AND('3'!#REF!,"AAAAAHtTtqQ=")</f>
        <v>#REF!</v>
      </c>
      <c r="FJ17" t="e">
        <f>AND('3'!#REF!,"AAAAAHtTtqU=")</f>
        <v>#REF!</v>
      </c>
      <c r="FK17" t="e">
        <f>AND('3'!#REF!,"AAAAAHtTtqY=")</f>
        <v>#REF!</v>
      </c>
      <c r="FL17" t="e">
        <f>AND('3'!#REF!,"AAAAAHtTtqc=")</f>
        <v>#REF!</v>
      </c>
      <c r="FM17" t="e">
        <f>AND('3'!#REF!,"AAAAAHtTtqg=")</f>
        <v>#REF!</v>
      </c>
      <c r="FN17" t="e">
        <f>AND('3'!#REF!,"AAAAAHtTtqk=")</f>
        <v>#REF!</v>
      </c>
      <c r="FO17" t="e">
        <f>AND('3'!#REF!,"AAAAAHtTtqo=")</f>
        <v>#REF!</v>
      </c>
      <c r="FP17" t="e">
        <f>AND('3'!#REF!,"AAAAAHtTtqs=")</f>
        <v>#REF!</v>
      </c>
      <c r="FQ17" t="e">
        <f>AND('3'!#REF!,"AAAAAHtTtqw=")</f>
        <v>#REF!</v>
      </c>
      <c r="FR17" t="e">
        <f>AND('3'!#REF!,"AAAAAHtTtq0=")</f>
        <v>#REF!</v>
      </c>
      <c r="FS17" t="e">
        <f>AND('3'!#REF!,"AAAAAHtTtq4=")</f>
        <v>#REF!</v>
      </c>
      <c r="FT17" t="e">
        <f>AND('3'!#REF!,"AAAAAHtTtq8=")</f>
        <v>#REF!</v>
      </c>
      <c r="FU17" t="e">
        <f>AND('3'!#REF!,"AAAAAHtTtrA=")</f>
        <v>#REF!</v>
      </c>
      <c r="FV17" t="e">
        <f>AND('3'!#REF!,"AAAAAHtTtrE=")</f>
        <v>#REF!</v>
      </c>
      <c r="FW17" t="e">
        <f>IF('3'!#REF!,"AAAAAHtTtrI=",0)</f>
        <v>#REF!</v>
      </c>
      <c r="FX17" t="e">
        <f>AND('3'!#REF!,"AAAAAHtTtrM=")</f>
        <v>#REF!</v>
      </c>
      <c r="FY17" t="e">
        <f>AND('3'!#REF!,"AAAAAHtTtrQ=")</f>
        <v>#REF!</v>
      </c>
      <c r="FZ17" t="e">
        <f>AND('3'!#REF!,"AAAAAHtTtrU=")</f>
        <v>#REF!</v>
      </c>
      <c r="GA17" t="e">
        <f>AND('3'!#REF!,"AAAAAHtTtrY=")</f>
        <v>#REF!</v>
      </c>
      <c r="GB17" t="e">
        <f>AND('3'!#REF!,"AAAAAHtTtrc=")</f>
        <v>#REF!</v>
      </c>
      <c r="GC17" t="e">
        <f>AND('3'!#REF!,"AAAAAHtTtrg=")</f>
        <v>#REF!</v>
      </c>
      <c r="GD17" t="e">
        <f>AND('3'!#REF!,"AAAAAHtTtrk=")</f>
        <v>#REF!</v>
      </c>
      <c r="GE17" t="e">
        <f>AND('3'!#REF!,"AAAAAHtTtro=")</f>
        <v>#REF!</v>
      </c>
      <c r="GF17" t="e">
        <f>AND('3'!#REF!,"AAAAAHtTtrs=")</f>
        <v>#REF!</v>
      </c>
      <c r="GG17" t="e">
        <f>AND('3'!#REF!,"AAAAAHtTtrw=")</f>
        <v>#REF!</v>
      </c>
      <c r="GH17" t="e">
        <f>AND('3'!#REF!,"AAAAAHtTtr0=")</f>
        <v>#REF!</v>
      </c>
      <c r="GI17" t="e">
        <f>AND('3'!#REF!,"AAAAAHtTtr4=")</f>
        <v>#REF!</v>
      </c>
      <c r="GJ17" t="e">
        <f>AND('3'!#REF!,"AAAAAHtTtr8=")</f>
        <v>#REF!</v>
      </c>
      <c r="GK17" t="e">
        <f>AND('3'!#REF!,"AAAAAHtTtsA=")</f>
        <v>#REF!</v>
      </c>
      <c r="GL17" t="e">
        <f>IF('3'!#REF!,"AAAAAHtTtsE=",0)</f>
        <v>#REF!</v>
      </c>
      <c r="GM17" t="e">
        <f>AND('3'!#REF!,"AAAAAHtTtsI=")</f>
        <v>#REF!</v>
      </c>
      <c r="GN17" t="e">
        <f>AND('3'!#REF!,"AAAAAHtTtsM=")</f>
        <v>#REF!</v>
      </c>
      <c r="GO17" t="e">
        <f>AND('3'!#REF!,"AAAAAHtTtsQ=")</f>
        <v>#REF!</v>
      </c>
      <c r="GP17" t="e">
        <f>AND('3'!#REF!,"AAAAAHtTtsU=")</f>
        <v>#REF!</v>
      </c>
      <c r="GQ17" t="e">
        <f>AND('3'!#REF!,"AAAAAHtTtsY=")</f>
        <v>#REF!</v>
      </c>
      <c r="GR17" t="e">
        <f>AND('3'!#REF!,"AAAAAHtTtsc=")</f>
        <v>#REF!</v>
      </c>
      <c r="GS17" t="e">
        <f>AND('3'!#REF!,"AAAAAHtTtsg=")</f>
        <v>#REF!</v>
      </c>
      <c r="GT17" t="e">
        <f>AND('3'!#REF!,"AAAAAHtTtsk=")</f>
        <v>#REF!</v>
      </c>
      <c r="GU17" t="e">
        <f>AND('3'!#REF!,"AAAAAHtTtso=")</f>
        <v>#REF!</v>
      </c>
      <c r="GV17" t="e">
        <f>AND('3'!#REF!,"AAAAAHtTtss=")</f>
        <v>#REF!</v>
      </c>
      <c r="GW17" t="e">
        <f>AND('3'!#REF!,"AAAAAHtTtsw=")</f>
        <v>#REF!</v>
      </c>
      <c r="GX17" t="e">
        <f>AND('3'!#REF!,"AAAAAHtTts0=")</f>
        <v>#REF!</v>
      </c>
      <c r="GY17" t="e">
        <f>AND('3'!#REF!,"AAAAAHtTts4=")</f>
        <v>#REF!</v>
      </c>
      <c r="GZ17" t="e">
        <f>AND('3'!#REF!,"AAAAAHtTts8=")</f>
        <v>#REF!</v>
      </c>
      <c r="HA17" t="e">
        <f>IF('3'!#REF!,"AAAAAHtTttA=",0)</f>
        <v>#REF!</v>
      </c>
      <c r="HB17" t="e">
        <f>AND('3'!#REF!,"AAAAAHtTttE=")</f>
        <v>#REF!</v>
      </c>
      <c r="HC17" t="e">
        <f>AND('3'!#REF!,"AAAAAHtTttI=")</f>
        <v>#REF!</v>
      </c>
      <c r="HD17" t="e">
        <f>AND('3'!#REF!,"AAAAAHtTttM=")</f>
        <v>#REF!</v>
      </c>
      <c r="HE17" t="e">
        <f>AND('3'!#REF!,"AAAAAHtTttQ=")</f>
        <v>#REF!</v>
      </c>
      <c r="HF17" t="e">
        <f>AND('3'!#REF!,"AAAAAHtTttU=")</f>
        <v>#REF!</v>
      </c>
      <c r="HG17" t="e">
        <f>AND('3'!#REF!,"AAAAAHtTttY=")</f>
        <v>#REF!</v>
      </c>
      <c r="HH17" t="e">
        <f>AND('3'!#REF!,"AAAAAHtTttc=")</f>
        <v>#REF!</v>
      </c>
      <c r="HI17" t="e">
        <f>AND('3'!#REF!,"AAAAAHtTttg=")</f>
        <v>#REF!</v>
      </c>
      <c r="HJ17" t="e">
        <f>AND('3'!#REF!,"AAAAAHtTttk=")</f>
        <v>#REF!</v>
      </c>
      <c r="HK17" t="e">
        <f>AND('3'!#REF!,"AAAAAHtTtto=")</f>
        <v>#REF!</v>
      </c>
      <c r="HL17" t="e">
        <f>AND('3'!#REF!,"AAAAAHtTtts=")</f>
        <v>#REF!</v>
      </c>
      <c r="HM17" t="e">
        <f>AND('3'!#REF!,"AAAAAHtTttw=")</f>
        <v>#REF!</v>
      </c>
      <c r="HN17" t="e">
        <f>AND('3'!#REF!,"AAAAAHtTtt0=")</f>
        <v>#REF!</v>
      </c>
      <c r="HO17" t="e">
        <f>AND('3'!#REF!,"AAAAAHtTtt4=")</f>
        <v>#REF!</v>
      </c>
      <c r="HP17" t="e">
        <f>IF('3'!#REF!,"AAAAAHtTtt8=",0)</f>
        <v>#REF!</v>
      </c>
      <c r="HQ17" t="e">
        <f>AND('3'!#REF!,"AAAAAHtTtuA=")</f>
        <v>#REF!</v>
      </c>
      <c r="HR17" t="e">
        <f>AND('3'!#REF!,"AAAAAHtTtuE=")</f>
        <v>#REF!</v>
      </c>
      <c r="HS17" t="e">
        <f>AND('3'!#REF!,"AAAAAHtTtuI=")</f>
        <v>#REF!</v>
      </c>
      <c r="HT17" t="e">
        <f>AND('3'!#REF!,"AAAAAHtTtuM=")</f>
        <v>#REF!</v>
      </c>
      <c r="HU17" t="e">
        <f>AND('3'!#REF!,"AAAAAHtTtuQ=")</f>
        <v>#REF!</v>
      </c>
      <c r="HV17" t="e">
        <f>AND('3'!#REF!,"AAAAAHtTtuU=")</f>
        <v>#REF!</v>
      </c>
      <c r="HW17" t="e">
        <f>AND('3'!#REF!,"AAAAAHtTtuY=")</f>
        <v>#REF!</v>
      </c>
      <c r="HX17" t="e">
        <f>AND('3'!#REF!,"AAAAAHtTtuc=")</f>
        <v>#REF!</v>
      </c>
      <c r="HY17" t="e">
        <f>AND('3'!#REF!,"AAAAAHtTtug=")</f>
        <v>#REF!</v>
      </c>
      <c r="HZ17" t="e">
        <f>AND('3'!#REF!,"AAAAAHtTtuk=")</f>
        <v>#REF!</v>
      </c>
      <c r="IA17" t="e">
        <f>AND('3'!#REF!,"AAAAAHtTtuo=")</f>
        <v>#REF!</v>
      </c>
      <c r="IB17" t="e">
        <f>AND('3'!#REF!,"AAAAAHtTtus=")</f>
        <v>#REF!</v>
      </c>
      <c r="IC17" t="e">
        <f>AND('3'!#REF!,"AAAAAHtTtuw=")</f>
        <v>#REF!</v>
      </c>
      <c r="ID17" t="e">
        <f>AND('3'!#REF!,"AAAAAHtTtu0=")</f>
        <v>#REF!</v>
      </c>
      <c r="IE17" t="e">
        <f>IF('3'!#REF!,"AAAAAHtTtu4=",0)</f>
        <v>#REF!</v>
      </c>
      <c r="IF17" t="e">
        <f>AND('3'!#REF!,"AAAAAHtTtu8=")</f>
        <v>#REF!</v>
      </c>
      <c r="IG17" t="e">
        <f>AND('3'!#REF!,"AAAAAHtTtvA=")</f>
        <v>#REF!</v>
      </c>
      <c r="IH17" t="e">
        <f>AND('3'!#REF!,"AAAAAHtTtvE=")</f>
        <v>#REF!</v>
      </c>
      <c r="II17" t="e">
        <f>AND('3'!#REF!,"AAAAAHtTtvI=")</f>
        <v>#REF!</v>
      </c>
      <c r="IJ17" t="e">
        <f>AND('3'!#REF!,"AAAAAHtTtvM=")</f>
        <v>#REF!</v>
      </c>
      <c r="IK17" t="e">
        <f>AND('3'!#REF!,"AAAAAHtTtvQ=")</f>
        <v>#REF!</v>
      </c>
      <c r="IL17" t="e">
        <f>AND('3'!#REF!,"AAAAAHtTtvU=")</f>
        <v>#REF!</v>
      </c>
      <c r="IM17" t="e">
        <f>AND('3'!#REF!,"AAAAAHtTtvY=")</f>
        <v>#REF!</v>
      </c>
      <c r="IN17" t="e">
        <f>AND('3'!#REF!,"AAAAAHtTtvc=")</f>
        <v>#REF!</v>
      </c>
      <c r="IO17" t="e">
        <f>AND('3'!#REF!,"AAAAAHtTtvg=")</f>
        <v>#REF!</v>
      </c>
      <c r="IP17" t="e">
        <f>AND('3'!#REF!,"AAAAAHtTtvk=")</f>
        <v>#REF!</v>
      </c>
      <c r="IQ17" t="e">
        <f>AND('3'!#REF!,"AAAAAHtTtvo=")</f>
        <v>#REF!</v>
      </c>
      <c r="IR17" t="e">
        <f>AND('3'!#REF!,"AAAAAHtTtvs=")</f>
        <v>#REF!</v>
      </c>
      <c r="IS17" t="e">
        <f>AND('3'!#REF!,"AAAAAHtTtvw=")</f>
        <v>#REF!</v>
      </c>
      <c r="IT17" t="e">
        <f>IF('3'!#REF!,"AAAAAHtTtv0=",0)</f>
        <v>#REF!</v>
      </c>
      <c r="IU17" t="e">
        <f>AND('3'!#REF!,"AAAAAHtTtv4=")</f>
        <v>#REF!</v>
      </c>
      <c r="IV17" t="e">
        <f>AND('3'!#REF!,"AAAAAHtTtv8=")</f>
        <v>#REF!</v>
      </c>
    </row>
    <row r="18" spans="1:256" x14ac:dyDescent="0.25">
      <c r="A18" t="e">
        <f>AND('3'!#REF!,"AAAAAFnf9wA=")</f>
        <v>#REF!</v>
      </c>
      <c r="B18" t="e">
        <f>AND('3'!#REF!,"AAAAAFnf9wE=")</f>
        <v>#REF!</v>
      </c>
      <c r="C18" t="e">
        <f>AND('3'!#REF!,"AAAAAFnf9wI=")</f>
        <v>#REF!</v>
      </c>
      <c r="D18" t="e">
        <f>AND('3'!#REF!,"AAAAAFnf9wM=")</f>
        <v>#REF!</v>
      </c>
      <c r="E18" t="e">
        <f>AND('3'!#REF!,"AAAAAFnf9wQ=")</f>
        <v>#REF!</v>
      </c>
      <c r="F18" t="e">
        <f>AND('3'!#REF!,"AAAAAFnf9wU=")</f>
        <v>#REF!</v>
      </c>
      <c r="G18" t="e">
        <f>AND('3'!#REF!,"AAAAAFnf9wY=")</f>
        <v>#REF!</v>
      </c>
      <c r="H18" t="e">
        <f>AND('3'!#REF!,"AAAAAFnf9wc=")</f>
        <v>#REF!</v>
      </c>
      <c r="I18" t="e">
        <f>AND('3'!#REF!,"AAAAAFnf9wg=")</f>
        <v>#REF!</v>
      </c>
      <c r="J18" t="e">
        <f>AND('3'!#REF!,"AAAAAFnf9wk=")</f>
        <v>#REF!</v>
      </c>
      <c r="K18" t="e">
        <f>AND('3'!#REF!,"AAAAAFnf9wo=")</f>
        <v>#REF!</v>
      </c>
      <c r="L18" t="e">
        <f>AND('3'!#REF!,"AAAAAFnf9ws=")</f>
        <v>#REF!</v>
      </c>
      <c r="M18" t="e">
        <f>IF('3'!#REF!,"AAAAAFnf9ww=",0)</f>
        <v>#REF!</v>
      </c>
      <c r="N18" t="e">
        <f>AND('3'!#REF!,"AAAAAFnf9w0=")</f>
        <v>#REF!</v>
      </c>
      <c r="O18" t="e">
        <f>AND('3'!#REF!,"AAAAAFnf9w4=")</f>
        <v>#REF!</v>
      </c>
      <c r="P18" t="e">
        <f>AND('3'!#REF!,"AAAAAFnf9w8=")</f>
        <v>#REF!</v>
      </c>
      <c r="Q18" t="e">
        <f>AND('3'!#REF!,"AAAAAFnf9xA=")</f>
        <v>#REF!</v>
      </c>
      <c r="R18" t="e">
        <f>AND('3'!#REF!,"AAAAAFnf9xE=")</f>
        <v>#REF!</v>
      </c>
      <c r="S18" t="e">
        <f>AND('3'!#REF!,"AAAAAFnf9xI=")</f>
        <v>#REF!</v>
      </c>
      <c r="T18" t="e">
        <f>AND('3'!#REF!,"AAAAAFnf9xM=")</f>
        <v>#REF!</v>
      </c>
      <c r="U18" t="e">
        <f>AND('3'!#REF!,"AAAAAFnf9xQ=")</f>
        <v>#REF!</v>
      </c>
      <c r="V18" t="e">
        <f>AND('3'!#REF!,"AAAAAFnf9xU=")</f>
        <v>#REF!</v>
      </c>
      <c r="W18" t="e">
        <f>AND('3'!#REF!,"AAAAAFnf9xY=")</f>
        <v>#REF!</v>
      </c>
      <c r="X18" t="e">
        <f>AND('3'!#REF!,"AAAAAFnf9xc=")</f>
        <v>#REF!</v>
      </c>
      <c r="Y18" t="e">
        <f>AND('3'!#REF!,"AAAAAFnf9xg=")</f>
        <v>#REF!</v>
      </c>
      <c r="Z18" t="e">
        <f>AND('3'!#REF!,"AAAAAFnf9xk=")</f>
        <v>#REF!</v>
      </c>
      <c r="AA18" t="e">
        <f>AND('3'!#REF!,"AAAAAFnf9xo=")</f>
        <v>#REF!</v>
      </c>
      <c r="AB18" t="e">
        <f>IF('3'!#REF!,"AAAAAFnf9xs=",0)</f>
        <v>#REF!</v>
      </c>
      <c r="AC18" t="e">
        <f>AND('3'!#REF!,"AAAAAFnf9xw=")</f>
        <v>#REF!</v>
      </c>
      <c r="AD18" t="e">
        <f>AND('3'!#REF!,"AAAAAFnf9x0=")</f>
        <v>#REF!</v>
      </c>
      <c r="AE18" t="e">
        <f>AND('3'!#REF!,"AAAAAFnf9x4=")</f>
        <v>#REF!</v>
      </c>
      <c r="AF18" t="e">
        <f>AND('3'!#REF!,"AAAAAFnf9x8=")</f>
        <v>#REF!</v>
      </c>
      <c r="AG18" t="e">
        <f>AND('3'!#REF!,"AAAAAFnf9yA=")</f>
        <v>#REF!</v>
      </c>
      <c r="AH18" t="e">
        <f>AND('3'!#REF!,"AAAAAFnf9yE=")</f>
        <v>#REF!</v>
      </c>
      <c r="AI18" t="e">
        <f>AND('3'!#REF!,"AAAAAFnf9yI=")</f>
        <v>#REF!</v>
      </c>
      <c r="AJ18" t="e">
        <f>AND('3'!#REF!,"AAAAAFnf9yM=")</f>
        <v>#REF!</v>
      </c>
      <c r="AK18" t="e">
        <f>AND('3'!#REF!,"AAAAAFnf9yQ=")</f>
        <v>#REF!</v>
      </c>
      <c r="AL18" t="e">
        <f>AND('3'!#REF!,"AAAAAFnf9yU=")</f>
        <v>#REF!</v>
      </c>
      <c r="AM18" t="e">
        <f>AND('3'!#REF!,"AAAAAFnf9yY=")</f>
        <v>#REF!</v>
      </c>
      <c r="AN18" t="e">
        <f>AND('3'!#REF!,"AAAAAFnf9yc=")</f>
        <v>#REF!</v>
      </c>
      <c r="AO18" t="e">
        <f>AND('3'!#REF!,"AAAAAFnf9yg=")</f>
        <v>#REF!</v>
      </c>
      <c r="AP18" t="e">
        <f>AND('3'!#REF!,"AAAAAFnf9yk=")</f>
        <v>#REF!</v>
      </c>
      <c r="AQ18" t="e">
        <f>IF('3'!#REF!,"AAAAAFnf9yo=",0)</f>
        <v>#REF!</v>
      </c>
      <c r="AR18" t="e">
        <f>AND('3'!#REF!,"AAAAAFnf9ys=")</f>
        <v>#REF!</v>
      </c>
      <c r="AS18" t="e">
        <f>AND('3'!#REF!,"AAAAAFnf9yw=")</f>
        <v>#REF!</v>
      </c>
      <c r="AT18" t="e">
        <f>AND('3'!#REF!,"AAAAAFnf9y0=")</f>
        <v>#REF!</v>
      </c>
      <c r="AU18" t="e">
        <f>AND('3'!#REF!,"AAAAAFnf9y4=")</f>
        <v>#REF!</v>
      </c>
      <c r="AV18" t="e">
        <f>AND('3'!#REF!,"AAAAAFnf9y8=")</f>
        <v>#REF!</v>
      </c>
      <c r="AW18" t="e">
        <f>AND('3'!#REF!,"AAAAAFnf9zA=")</f>
        <v>#REF!</v>
      </c>
      <c r="AX18" t="e">
        <f>AND('3'!#REF!,"AAAAAFnf9zE=")</f>
        <v>#REF!</v>
      </c>
      <c r="AY18" t="e">
        <f>AND('3'!#REF!,"AAAAAFnf9zI=")</f>
        <v>#REF!</v>
      </c>
      <c r="AZ18" t="e">
        <f>AND('3'!#REF!,"AAAAAFnf9zM=")</f>
        <v>#REF!</v>
      </c>
      <c r="BA18" t="e">
        <f>AND('3'!#REF!,"AAAAAFnf9zQ=")</f>
        <v>#REF!</v>
      </c>
      <c r="BB18" t="e">
        <f>AND('3'!#REF!,"AAAAAFnf9zU=")</f>
        <v>#REF!</v>
      </c>
      <c r="BC18" t="e">
        <f>AND('3'!#REF!,"AAAAAFnf9zY=")</f>
        <v>#REF!</v>
      </c>
      <c r="BD18" t="e">
        <f>AND('3'!#REF!,"AAAAAFnf9zc=")</f>
        <v>#REF!</v>
      </c>
      <c r="BE18" t="e">
        <f>AND('3'!#REF!,"AAAAAFnf9zg=")</f>
        <v>#REF!</v>
      </c>
      <c r="BF18" t="e">
        <f>IF('3'!#REF!,"AAAAAFnf9zk=",0)</f>
        <v>#REF!</v>
      </c>
      <c r="BG18" t="e">
        <f>AND('3'!#REF!,"AAAAAFnf9zo=")</f>
        <v>#REF!</v>
      </c>
      <c r="BH18" t="e">
        <f>AND('3'!#REF!,"AAAAAFnf9zs=")</f>
        <v>#REF!</v>
      </c>
      <c r="BI18" t="e">
        <f>AND('3'!#REF!,"AAAAAFnf9zw=")</f>
        <v>#REF!</v>
      </c>
      <c r="BJ18" t="e">
        <f>AND('3'!#REF!,"AAAAAFnf9z0=")</f>
        <v>#REF!</v>
      </c>
      <c r="BK18" t="e">
        <f>AND('3'!#REF!,"AAAAAFnf9z4=")</f>
        <v>#REF!</v>
      </c>
      <c r="BL18" t="e">
        <f>AND('3'!#REF!,"AAAAAFnf9z8=")</f>
        <v>#REF!</v>
      </c>
      <c r="BM18" t="e">
        <f>AND('3'!#REF!,"AAAAAFnf90A=")</f>
        <v>#REF!</v>
      </c>
      <c r="BN18" t="e">
        <f>AND('3'!#REF!,"AAAAAFnf90E=")</f>
        <v>#REF!</v>
      </c>
      <c r="BO18" t="e">
        <f>AND('3'!#REF!,"AAAAAFnf90I=")</f>
        <v>#REF!</v>
      </c>
      <c r="BP18" t="e">
        <f>AND('3'!#REF!,"AAAAAFnf90M=")</f>
        <v>#REF!</v>
      </c>
      <c r="BQ18" t="e">
        <f>AND('3'!#REF!,"AAAAAFnf90Q=")</f>
        <v>#REF!</v>
      </c>
      <c r="BR18" t="e">
        <f>AND('3'!#REF!,"AAAAAFnf90U=")</f>
        <v>#REF!</v>
      </c>
      <c r="BS18" t="e">
        <f>AND('3'!#REF!,"AAAAAFnf90Y=")</f>
        <v>#REF!</v>
      </c>
      <c r="BT18" t="e">
        <f>AND('3'!#REF!,"AAAAAFnf90c=")</f>
        <v>#REF!</v>
      </c>
      <c r="BU18" t="e">
        <f>IF('3'!#REF!,"AAAAAFnf90g=",0)</f>
        <v>#REF!</v>
      </c>
      <c r="BV18" t="e">
        <f>AND('3'!#REF!,"AAAAAFnf90k=")</f>
        <v>#REF!</v>
      </c>
      <c r="BW18" t="e">
        <f>AND('3'!#REF!,"AAAAAFnf90o=")</f>
        <v>#REF!</v>
      </c>
      <c r="BX18" t="e">
        <f>AND('3'!#REF!,"AAAAAFnf90s=")</f>
        <v>#REF!</v>
      </c>
      <c r="BY18" t="e">
        <f>AND('3'!#REF!,"AAAAAFnf90w=")</f>
        <v>#REF!</v>
      </c>
      <c r="BZ18" t="e">
        <f>AND('3'!#REF!,"AAAAAFnf900=")</f>
        <v>#REF!</v>
      </c>
      <c r="CA18" t="e">
        <f>AND('3'!#REF!,"AAAAAFnf904=")</f>
        <v>#REF!</v>
      </c>
      <c r="CB18" t="e">
        <f>AND('3'!#REF!,"AAAAAFnf908=")</f>
        <v>#REF!</v>
      </c>
      <c r="CC18" t="e">
        <f>AND('3'!#REF!,"AAAAAFnf91A=")</f>
        <v>#REF!</v>
      </c>
      <c r="CD18" t="e">
        <f>AND('3'!#REF!,"AAAAAFnf91E=")</f>
        <v>#REF!</v>
      </c>
      <c r="CE18" t="e">
        <f>AND('3'!#REF!,"AAAAAFnf91I=")</f>
        <v>#REF!</v>
      </c>
      <c r="CF18" t="e">
        <f>AND('3'!#REF!,"AAAAAFnf91M=")</f>
        <v>#REF!</v>
      </c>
      <c r="CG18" t="e">
        <f>AND('3'!#REF!,"AAAAAFnf91Q=")</f>
        <v>#REF!</v>
      </c>
      <c r="CH18" t="e">
        <f>AND('3'!#REF!,"AAAAAFnf91U=")</f>
        <v>#REF!</v>
      </c>
      <c r="CI18" t="e">
        <f>AND('3'!#REF!,"AAAAAFnf91Y=")</f>
        <v>#REF!</v>
      </c>
      <c r="CJ18" t="e">
        <f>IF('3'!#REF!,"AAAAAFnf91c=",0)</f>
        <v>#REF!</v>
      </c>
      <c r="CK18" t="e">
        <f>AND('3'!#REF!,"AAAAAFnf91g=")</f>
        <v>#REF!</v>
      </c>
      <c r="CL18" t="e">
        <f>AND('3'!#REF!,"AAAAAFnf91k=")</f>
        <v>#REF!</v>
      </c>
      <c r="CM18" t="e">
        <f>AND('3'!#REF!,"AAAAAFnf91o=")</f>
        <v>#REF!</v>
      </c>
      <c r="CN18" t="e">
        <f>AND('3'!#REF!,"AAAAAFnf91s=")</f>
        <v>#REF!</v>
      </c>
      <c r="CO18" t="e">
        <f>AND('3'!#REF!,"AAAAAFnf91w=")</f>
        <v>#REF!</v>
      </c>
      <c r="CP18" t="e">
        <f>AND('3'!#REF!,"AAAAAFnf910=")</f>
        <v>#REF!</v>
      </c>
      <c r="CQ18" t="e">
        <f>AND('3'!#REF!,"AAAAAFnf914=")</f>
        <v>#REF!</v>
      </c>
      <c r="CR18" t="e">
        <f>AND('3'!#REF!,"AAAAAFnf918=")</f>
        <v>#REF!</v>
      </c>
      <c r="CS18" t="e">
        <f>AND('3'!#REF!,"AAAAAFnf92A=")</f>
        <v>#REF!</v>
      </c>
      <c r="CT18" t="e">
        <f>AND('3'!#REF!,"AAAAAFnf92E=")</f>
        <v>#REF!</v>
      </c>
      <c r="CU18" t="e">
        <f>AND('3'!#REF!,"AAAAAFnf92I=")</f>
        <v>#REF!</v>
      </c>
      <c r="CV18" t="e">
        <f>AND('3'!#REF!,"AAAAAFnf92M=")</f>
        <v>#REF!</v>
      </c>
      <c r="CW18" t="e">
        <f>AND('3'!#REF!,"AAAAAFnf92Q=")</f>
        <v>#REF!</v>
      </c>
      <c r="CX18" t="e">
        <f>AND('3'!#REF!,"AAAAAFnf92U=")</f>
        <v>#REF!</v>
      </c>
      <c r="CY18" t="e">
        <f>IF('3'!#REF!,"AAAAAFnf92Y=",0)</f>
        <v>#REF!</v>
      </c>
      <c r="CZ18" t="e">
        <f>AND('3'!#REF!,"AAAAAFnf92c=")</f>
        <v>#REF!</v>
      </c>
      <c r="DA18" t="e">
        <f>AND('3'!#REF!,"AAAAAFnf92g=")</f>
        <v>#REF!</v>
      </c>
      <c r="DB18" t="e">
        <f>AND('3'!#REF!,"AAAAAFnf92k=")</f>
        <v>#REF!</v>
      </c>
      <c r="DC18" t="e">
        <f>AND('3'!#REF!,"AAAAAFnf92o=")</f>
        <v>#REF!</v>
      </c>
      <c r="DD18" t="e">
        <f>AND('3'!#REF!,"AAAAAFnf92s=")</f>
        <v>#REF!</v>
      </c>
      <c r="DE18" t="e">
        <f>AND('3'!#REF!,"AAAAAFnf92w=")</f>
        <v>#REF!</v>
      </c>
      <c r="DF18" t="e">
        <f>AND('3'!#REF!,"AAAAAFnf920=")</f>
        <v>#REF!</v>
      </c>
      <c r="DG18" t="e">
        <f>AND('3'!#REF!,"AAAAAFnf924=")</f>
        <v>#REF!</v>
      </c>
      <c r="DH18" t="e">
        <f>AND('3'!#REF!,"AAAAAFnf928=")</f>
        <v>#REF!</v>
      </c>
      <c r="DI18" t="e">
        <f>AND('3'!#REF!,"AAAAAFnf93A=")</f>
        <v>#REF!</v>
      </c>
      <c r="DJ18" t="e">
        <f>AND('3'!#REF!,"AAAAAFnf93E=")</f>
        <v>#REF!</v>
      </c>
      <c r="DK18" t="e">
        <f>AND('3'!#REF!,"AAAAAFnf93I=")</f>
        <v>#REF!</v>
      </c>
      <c r="DL18" t="e">
        <f>AND('3'!#REF!,"AAAAAFnf93M=")</f>
        <v>#REF!</v>
      </c>
      <c r="DM18" t="e">
        <f>AND('3'!#REF!,"AAAAAFnf93Q=")</f>
        <v>#REF!</v>
      </c>
      <c r="DN18" t="e">
        <f>IF('3'!#REF!,"AAAAAFnf93U=",0)</f>
        <v>#REF!</v>
      </c>
      <c r="DO18" t="e">
        <f>AND('3'!#REF!,"AAAAAFnf93Y=")</f>
        <v>#REF!</v>
      </c>
      <c r="DP18" t="e">
        <f>AND('3'!#REF!,"AAAAAFnf93c=")</f>
        <v>#REF!</v>
      </c>
      <c r="DQ18" t="e">
        <f>AND('3'!#REF!,"AAAAAFnf93g=")</f>
        <v>#REF!</v>
      </c>
      <c r="DR18" t="e">
        <f>AND('3'!#REF!,"AAAAAFnf93k=")</f>
        <v>#REF!</v>
      </c>
      <c r="DS18" t="e">
        <f>AND('3'!#REF!,"AAAAAFnf93o=")</f>
        <v>#REF!</v>
      </c>
      <c r="DT18" t="e">
        <f>AND('3'!#REF!,"AAAAAFnf93s=")</f>
        <v>#REF!</v>
      </c>
      <c r="DU18" t="e">
        <f>AND('3'!#REF!,"AAAAAFnf93w=")</f>
        <v>#REF!</v>
      </c>
      <c r="DV18" t="e">
        <f>AND('3'!#REF!,"AAAAAFnf930=")</f>
        <v>#REF!</v>
      </c>
      <c r="DW18" t="e">
        <f>AND('3'!#REF!,"AAAAAFnf934=")</f>
        <v>#REF!</v>
      </c>
      <c r="DX18" t="e">
        <f>AND('3'!#REF!,"AAAAAFnf938=")</f>
        <v>#REF!</v>
      </c>
      <c r="DY18" t="e">
        <f>AND('3'!#REF!,"AAAAAFnf94A=")</f>
        <v>#REF!</v>
      </c>
      <c r="DZ18" t="e">
        <f>AND('3'!#REF!,"AAAAAFnf94E=")</f>
        <v>#REF!</v>
      </c>
      <c r="EA18" t="e">
        <f>AND('3'!#REF!,"AAAAAFnf94I=")</f>
        <v>#REF!</v>
      </c>
      <c r="EB18" t="e">
        <f>AND('3'!#REF!,"AAAAAFnf94M=")</f>
        <v>#REF!</v>
      </c>
      <c r="EC18" t="e">
        <f>IF('3'!#REF!,"AAAAAFnf94Q=",0)</f>
        <v>#REF!</v>
      </c>
      <c r="ED18" t="e">
        <f>AND('3'!#REF!,"AAAAAFnf94U=")</f>
        <v>#REF!</v>
      </c>
      <c r="EE18" t="e">
        <f>AND('3'!#REF!,"AAAAAFnf94Y=")</f>
        <v>#REF!</v>
      </c>
      <c r="EF18" t="e">
        <f>AND('3'!#REF!,"AAAAAFnf94c=")</f>
        <v>#REF!</v>
      </c>
      <c r="EG18" t="e">
        <f>AND('3'!#REF!,"AAAAAFnf94g=")</f>
        <v>#REF!</v>
      </c>
      <c r="EH18" t="e">
        <f>AND('3'!#REF!,"AAAAAFnf94k=")</f>
        <v>#REF!</v>
      </c>
      <c r="EI18" t="e">
        <f>AND('3'!#REF!,"AAAAAFnf94o=")</f>
        <v>#REF!</v>
      </c>
      <c r="EJ18" t="e">
        <f>AND('3'!#REF!,"AAAAAFnf94s=")</f>
        <v>#REF!</v>
      </c>
      <c r="EK18" t="e">
        <f>AND('3'!#REF!,"AAAAAFnf94w=")</f>
        <v>#REF!</v>
      </c>
      <c r="EL18" t="e">
        <f>AND('3'!#REF!,"AAAAAFnf940=")</f>
        <v>#REF!</v>
      </c>
      <c r="EM18" t="e">
        <f>AND('3'!#REF!,"AAAAAFnf944=")</f>
        <v>#REF!</v>
      </c>
      <c r="EN18" t="e">
        <f>AND('3'!#REF!,"AAAAAFnf948=")</f>
        <v>#REF!</v>
      </c>
      <c r="EO18" t="e">
        <f>AND('3'!#REF!,"AAAAAFnf95A=")</f>
        <v>#REF!</v>
      </c>
      <c r="EP18" t="e">
        <f>AND('3'!#REF!,"AAAAAFnf95E=")</f>
        <v>#REF!</v>
      </c>
      <c r="EQ18" t="e">
        <f>AND('3'!#REF!,"AAAAAFnf95I=")</f>
        <v>#REF!</v>
      </c>
      <c r="ER18" t="e">
        <f>IF('3'!#REF!,"AAAAAFnf95M=",0)</f>
        <v>#REF!</v>
      </c>
      <c r="ES18" t="e">
        <f>AND('3'!#REF!,"AAAAAFnf95Q=")</f>
        <v>#REF!</v>
      </c>
      <c r="ET18" t="e">
        <f>AND('3'!#REF!,"AAAAAFnf95U=")</f>
        <v>#REF!</v>
      </c>
      <c r="EU18" t="e">
        <f>AND('3'!#REF!,"AAAAAFnf95Y=")</f>
        <v>#REF!</v>
      </c>
      <c r="EV18" t="e">
        <f>AND('3'!#REF!,"AAAAAFnf95c=")</f>
        <v>#REF!</v>
      </c>
      <c r="EW18" t="e">
        <f>AND('3'!#REF!,"AAAAAFnf95g=")</f>
        <v>#REF!</v>
      </c>
      <c r="EX18" t="e">
        <f>AND('3'!#REF!,"AAAAAFnf95k=")</f>
        <v>#REF!</v>
      </c>
      <c r="EY18" t="e">
        <f>AND('3'!#REF!,"AAAAAFnf95o=")</f>
        <v>#REF!</v>
      </c>
      <c r="EZ18" t="e">
        <f>AND('3'!#REF!,"AAAAAFnf95s=")</f>
        <v>#REF!</v>
      </c>
      <c r="FA18" t="e">
        <f>AND('3'!#REF!,"AAAAAFnf95w=")</f>
        <v>#REF!</v>
      </c>
      <c r="FB18" t="e">
        <f>AND('3'!#REF!,"AAAAAFnf950=")</f>
        <v>#REF!</v>
      </c>
      <c r="FC18" t="e">
        <f>AND('3'!#REF!,"AAAAAFnf954=")</f>
        <v>#REF!</v>
      </c>
      <c r="FD18" t="e">
        <f>AND('3'!#REF!,"AAAAAFnf958=")</f>
        <v>#REF!</v>
      </c>
      <c r="FE18" t="e">
        <f>AND('3'!#REF!,"AAAAAFnf96A=")</f>
        <v>#REF!</v>
      </c>
      <c r="FF18" t="e">
        <f>AND('3'!#REF!,"AAAAAFnf96E=")</f>
        <v>#REF!</v>
      </c>
      <c r="FG18" t="e">
        <f>IF('3'!#REF!,"AAAAAFnf96I=",0)</f>
        <v>#REF!</v>
      </c>
      <c r="FH18" t="e">
        <f>AND('3'!#REF!,"AAAAAFnf96M=")</f>
        <v>#REF!</v>
      </c>
      <c r="FI18" t="e">
        <f>AND('3'!#REF!,"AAAAAFnf96Q=")</f>
        <v>#REF!</v>
      </c>
      <c r="FJ18" t="e">
        <f>AND('3'!#REF!,"AAAAAFnf96U=")</f>
        <v>#REF!</v>
      </c>
      <c r="FK18" t="e">
        <f>AND('3'!#REF!,"AAAAAFnf96Y=")</f>
        <v>#REF!</v>
      </c>
      <c r="FL18" t="e">
        <f>AND('3'!#REF!,"AAAAAFnf96c=")</f>
        <v>#REF!</v>
      </c>
      <c r="FM18" t="e">
        <f>AND('3'!#REF!,"AAAAAFnf96g=")</f>
        <v>#REF!</v>
      </c>
      <c r="FN18" t="e">
        <f>AND('3'!#REF!,"AAAAAFnf96k=")</f>
        <v>#REF!</v>
      </c>
      <c r="FO18" t="e">
        <f>AND('3'!#REF!,"AAAAAFnf96o=")</f>
        <v>#REF!</v>
      </c>
      <c r="FP18" t="e">
        <f>AND('3'!#REF!,"AAAAAFnf96s=")</f>
        <v>#REF!</v>
      </c>
      <c r="FQ18" t="e">
        <f>AND('3'!#REF!,"AAAAAFnf96w=")</f>
        <v>#REF!</v>
      </c>
      <c r="FR18" t="e">
        <f>AND('3'!#REF!,"AAAAAFnf960=")</f>
        <v>#REF!</v>
      </c>
      <c r="FS18" t="e">
        <f>AND('3'!#REF!,"AAAAAFnf964=")</f>
        <v>#REF!</v>
      </c>
      <c r="FT18" t="e">
        <f>AND('3'!#REF!,"AAAAAFnf968=")</f>
        <v>#REF!</v>
      </c>
      <c r="FU18" t="e">
        <f>AND('3'!#REF!,"AAAAAFnf97A=")</f>
        <v>#REF!</v>
      </c>
      <c r="FV18" t="e">
        <f>IF('3'!#REF!,"AAAAAFnf97E=",0)</f>
        <v>#REF!</v>
      </c>
      <c r="FW18" t="e">
        <f>AND('3'!#REF!,"AAAAAFnf97I=")</f>
        <v>#REF!</v>
      </c>
      <c r="FX18" t="e">
        <f>AND('3'!#REF!,"AAAAAFnf97M=")</f>
        <v>#REF!</v>
      </c>
      <c r="FY18" t="e">
        <f>AND('3'!#REF!,"AAAAAFnf97Q=")</f>
        <v>#REF!</v>
      </c>
      <c r="FZ18" t="e">
        <f>AND('3'!#REF!,"AAAAAFnf97U=")</f>
        <v>#REF!</v>
      </c>
      <c r="GA18" t="e">
        <f>AND('3'!#REF!,"AAAAAFnf97Y=")</f>
        <v>#REF!</v>
      </c>
      <c r="GB18" t="e">
        <f>AND('3'!#REF!,"AAAAAFnf97c=")</f>
        <v>#REF!</v>
      </c>
      <c r="GC18" t="e">
        <f>AND('3'!#REF!,"AAAAAFnf97g=")</f>
        <v>#REF!</v>
      </c>
      <c r="GD18" t="e">
        <f>AND('3'!#REF!,"AAAAAFnf97k=")</f>
        <v>#REF!</v>
      </c>
      <c r="GE18" t="e">
        <f>AND('3'!#REF!,"AAAAAFnf97o=")</f>
        <v>#REF!</v>
      </c>
      <c r="GF18" t="e">
        <f>AND('3'!#REF!,"AAAAAFnf97s=")</f>
        <v>#REF!</v>
      </c>
      <c r="GG18" t="e">
        <f>AND('3'!#REF!,"AAAAAFnf97w=")</f>
        <v>#REF!</v>
      </c>
      <c r="GH18" t="e">
        <f>AND('3'!#REF!,"AAAAAFnf970=")</f>
        <v>#REF!</v>
      </c>
      <c r="GI18" t="e">
        <f>AND('3'!#REF!,"AAAAAFnf974=")</f>
        <v>#REF!</v>
      </c>
      <c r="GJ18" t="e">
        <f>AND('3'!#REF!,"AAAAAFnf978=")</f>
        <v>#REF!</v>
      </c>
      <c r="GK18" t="e">
        <f>IF('3'!#REF!,"AAAAAFnf98A=",0)</f>
        <v>#REF!</v>
      </c>
      <c r="GL18" t="e">
        <f>AND('3'!#REF!,"AAAAAFnf98E=")</f>
        <v>#REF!</v>
      </c>
      <c r="GM18" t="e">
        <f>AND('3'!#REF!,"AAAAAFnf98I=")</f>
        <v>#REF!</v>
      </c>
      <c r="GN18" t="e">
        <f>AND('3'!#REF!,"AAAAAFnf98M=")</f>
        <v>#REF!</v>
      </c>
      <c r="GO18" t="e">
        <f>AND('3'!#REF!,"AAAAAFnf98Q=")</f>
        <v>#REF!</v>
      </c>
      <c r="GP18" t="e">
        <f>AND('3'!#REF!,"AAAAAFnf98U=")</f>
        <v>#REF!</v>
      </c>
      <c r="GQ18" t="e">
        <f>AND('3'!#REF!,"AAAAAFnf98Y=")</f>
        <v>#REF!</v>
      </c>
      <c r="GR18" t="e">
        <f>AND('3'!#REF!,"AAAAAFnf98c=")</f>
        <v>#REF!</v>
      </c>
      <c r="GS18" t="e">
        <f>AND('3'!#REF!,"AAAAAFnf98g=")</f>
        <v>#REF!</v>
      </c>
      <c r="GT18" t="e">
        <f>AND('3'!#REF!,"AAAAAFnf98k=")</f>
        <v>#REF!</v>
      </c>
      <c r="GU18" t="e">
        <f>AND('3'!#REF!,"AAAAAFnf98o=")</f>
        <v>#REF!</v>
      </c>
      <c r="GV18" t="e">
        <f>AND('3'!#REF!,"AAAAAFnf98s=")</f>
        <v>#REF!</v>
      </c>
      <c r="GW18" t="e">
        <f>AND('3'!#REF!,"AAAAAFnf98w=")</f>
        <v>#REF!</v>
      </c>
      <c r="GX18" t="e">
        <f>AND('3'!#REF!,"AAAAAFnf980=")</f>
        <v>#REF!</v>
      </c>
      <c r="GY18" t="e">
        <f>AND('3'!#REF!,"AAAAAFnf984=")</f>
        <v>#REF!</v>
      </c>
      <c r="GZ18" t="e">
        <f>IF('3'!#REF!,"AAAAAFnf988=",0)</f>
        <v>#REF!</v>
      </c>
      <c r="HA18" t="e">
        <f>AND('3'!#REF!,"AAAAAFnf99A=")</f>
        <v>#REF!</v>
      </c>
      <c r="HB18" t="e">
        <f>AND('3'!#REF!,"AAAAAFnf99E=")</f>
        <v>#REF!</v>
      </c>
      <c r="HC18" t="e">
        <f>AND('3'!#REF!,"AAAAAFnf99I=")</f>
        <v>#REF!</v>
      </c>
      <c r="HD18" t="e">
        <f>AND('3'!#REF!,"AAAAAFnf99M=")</f>
        <v>#REF!</v>
      </c>
      <c r="HE18" t="e">
        <f>AND('3'!#REF!,"AAAAAFnf99Q=")</f>
        <v>#REF!</v>
      </c>
      <c r="HF18" t="e">
        <f>AND('3'!#REF!,"AAAAAFnf99U=")</f>
        <v>#REF!</v>
      </c>
      <c r="HG18" t="e">
        <f>AND('3'!#REF!,"AAAAAFnf99Y=")</f>
        <v>#REF!</v>
      </c>
      <c r="HH18" t="e">
        <f>AND('3'!#REF!,"AAAAAFnf99c=")</f>
        <v>#REF!</v>
      </c>
      <c r="HI18" t="e">
        <f>AND('3'!#REF!,"AAAAAFnf99g=")</f>
        <v>#REF!</v>
      </c>
      <c r="HJ18" t="e">
        <f>AND('3'!#REF!,"AAAAAFnf99k=")</f>
        <v>#REF!</v>
      </c>
      <c r="HK18" t="e">
        <f>AND('3'!#REF!,"AAAAAFnf99o=")</f>
        <v>#REF!</v>
      </c>
      <c r="HL18" t="e">
        <f>AND('3'!#REF!,"AAAAAFnf99s=")</f>
        <v>#REF!</v>
      </c>
      <c r="HM18" t="e">
        <f>AND('3'!#REF!,"AAAAAFnf99w=")</f>
        <v>#REF!</v>
      </c>
      <c r="HN18" t="e">
        <f>AND('3'!#REF!,"AAAAAFnf990=")</f>
        <v>#REF!</v>
      </c>
      <c r="HO18" t="e">
        <f>IF('3'!#REF!,"AAAAAFnf994=",0)</f>
        <v>#REF!</v>
      </c>
      <c r="HP18" t="e">
        <f>AND('3'!#REF!,"AAAAAFnf998=")</f>
        <v>#REF!</v>
      </c>
      <c r="HQ18" t="e">
        <f>AND('3'!#REF!,"AAAAAFnf9+A=")</f>
        <v>#REF!</v>
      </c>
      <c r="HR18" t="e">
        <f>AND('3'!#REF!,"AAAAAFnf9+E=")</f>
        <v>#REF!</v>
      </c>
      <c r="HS18" t="e">
        <f>AND('3'!#REF!,"AAAAAFnf9+I=")</f>
        <v>#REF!</v>
      </c>
      <c r="HT18" t="e">
        <f>AND('3'!#REF!,"AAAAAFnf9+M=")</f>
        <v>#REF!</v>
      </c>
      <c r="HU18" t="e">
        <f>AND('3'!#REF!,"AAAAAFnf9+Q=")</f>
        <v>#REF!</v>
      </c>
      <c r="HV18" t="e">
        <f>AND('3'!#REF!,"AAAAAFnf9+U=")</f>
        <v>#REF!</v>
      </c>
      <c r="HW18" t="e">
        <f>AND('3'!#REF!,"AAAAAFnf9+Y=")</f>
        <v>#REF!</v>
      </c>
      <c r="HX18" t="e">
        <f>AND('3'!#REF!,"AAAAAFnf9+c=")</f>
        <v>#REF!</v>
      </c>
      <c r="HY18" t="e">
        <f>AND('3'!#REF!,"AAAAAFnf9+g=")</f>
        <v>#REF!</v>
      </c>
      <c r="HZ18" t="e">
        <f>AND('3'!#REF!,"AAAAAFnf9+k=")</f>
        <v>#REF!</v>
      </c>
      <c r="IA18" t="e">
        <f>AND('3'!#REF!,"AAAAAFnf9+o=")</f>
        <v>#REF!</v>
      </c>
      <c r="IB18" t="e">
        <f>AND('3'!#REF!,"AAAAAFnf9+s=")</f>
        <v>#REF!</v>
      </c>
      <c r="IC18" t="e">
        <f>AND('3'!#REF!,"AAAAAFnf9+w=")</f>
        <v>#REF!</v>
      </c>
      <c r="ID18" t="e">
        <f>IF('3'!#REF!,"AAAAAFnf9+0=",0)</f>
        <v>#REF!</v>
      </c>
      <c r="IE18" t="e">
        <f>AND('3'!#REF!,"AAAAAFnf9+4=")</f>
        <v>#REF!</v>
      </c>
      <c r="IF18" t="e">
        <f>AND('3'!#REF!,"AAAAAFnf9+8=")</f>
        <v>#REF!</v>
      </c>
      <c r="IG18" t="e">
        <f>AND('3'!#REF!,"AAAAAFnf9/A=")</f>
        <v>#REF!</v>
      </c>
      <c r="IH18" t="e">
        <f>AND('3'!#REF!,"AAAAAFnf9/E=")</f>
        <v>#REF!</v>
      </c>
      <c r="II18" t="e">
        <f>AND('3'!#REF!,"AAAAAFnf9/I=")</f>
        <v>#REF!</v>
      </c>
      <c r="IJ18" t="e">
        <f>AND('3'!#REF!,"AAAAAFnf9/M=")</f>
        <v>#REF!</v>
      </c>
      <c r="IK18" t="e">
        <f>AND('3'!#REF!,"AAAAAFnf9/Q=")</f>
        <v>#REF!</v>
      </c>
      <c r="IL18" t="e">
        <f>AND('3'!#REF!,"AAAAAFnf9/U=")</f>
        <v>#REF!</v>
      </c>
      <c r="IM18" t="e">
        <f>AND('3'!#REF!,"AAAAAFnf9/Y=")</f>
        <v>#REF!</v>
      </c>
      <c r="IN18" t="e">
        <f>AND('3'!#REF!,"AAAAAFnf9/c=")</f>
        <v>#REF!</v>
      </c>
      <c r="IO18" t="e">
        <f>AND('3'!#REF!,"AAAAAFnf9/g=")</f>
        <v>#REF!</v>
      </c>
      <c r="IP18" t="e">
        <f>AND('3'!#REF!,"AAAAAFnf9/k=")</f>
        <v>#REF!</v>
      </c>
      <c r="IQ18" t="e">
        <f>AND('3'!#REF!,"AAAAAFnf9/o=")</f>
        <v>#REF!</v>
      </c>
      <c r="IR18" t="e">
        <f>AND('3'!#REF!,"AAAAAFnf9/s=")</f>
        <v>#REF!</v>
      </c>
      <c r="IS18" t="e">
        <f>IF('3'!#REF!,"AAAAAFnf9/w=",0)</f>
        <v>#REF!</v>
      </c>
      <c r="IT18" t="e">
        <f>AND('3'!#REF!,"AAAAAFnf9/0=")</f>
        <v>#REF!</v>
      </c>
      <c r="IU18" t="e">
        <f>AND('3'!#REF!,"AAAAAFnf9/4=")</f>
        <v>#REF!</v>
      </c>
      <c r="IV18" t="e">
        <f>AND('3'!#REF!,"AAAAAFnf9/8=")</f>
        <v>#REF!</v>
      </c>
    </row>
    <row r="19" spans="1:256" x14ac:dyDescent="0.25">
      <c r="A19" t="e">
        <f>AND('3'!#REF!,"AAAAAH5u+wA=")</f>
        <v>#REF!</v>
      </c>
      <c r="B19" t="e">
        <f>AND('3'!#REF!,"AAAAAH5u+wE=")</f>
        <v>#REF!</v>
      </c>
      <c r="C19" t="e">
        <f>AND('3'!#REF!,"AAAAAH5u+wI=")</f>
        <v>#REF!</v>
      </c>
      <c r="D19" t="e">
        <f>AND('3'!#REF!,"AAAAAH5u+wM=")</f>
        <v>#REF!</v>
      </c>
      <c r="E19" t="e">
        <f>AND('3'!#REF!,"AAAAAH5u+wQ=")</f>
        <v>#REF!</v>
      </c>
      <c r="F19" t="e">
        <f>AND('3'!#REF!,"AAAAAH5u+wU=")</f>
        <v>#REF!</v>
      </c>
      <c r="G19" t="e">
        <f>AND('3'!#REF!,"AAAAAH5u+wY=")</f>
        <v>#REF!</v>
      </c>
      <c r="H19" t="e">
        <f>AND('3'!#REF!,"AAAAAH5u+wc=")</f>
        <v>#REF!</v>
      </c>
      <c r="I19" t="e">
        <f>AND('3'!#REF!,"AAAAAH5u+wg=")</f>
        <v>#REF!</v>
      </c>
      <c r="J19" t="e">
        <f>AND('3'!#REF!,"AAAAAH5u+wk=")</f>
        <v>#REF!</v>
      </c>
      <c r="K19" t="e">
        <f>AND('3'!#REF!,"AAAAAH5u+wo=")</f>
        <v>#REF!</v>
      </c>
      <c r="L19" t="e">
        <f>IF('3'!#REF!,"AAAAAH5u+ws=",0)</f>
        <v>#REF!</v>
      </c>
      <c r="M19" t="e">
        <f>AND('3'!#REF!,"AAAAAH5u+ww=")</f>
        <v>#REF!</v>
      </c>
      <c r="N19" t="e">
        <f>AND('3'!#REF!,"AAAAAH5u+w0=")</f>
        <v>#REF!</v>
      </c>
      <c r="O19" t="e">
        <f>AND('3'!#REF!,"AAAAAH5u+w4=")</f>
        <v>#REF!</v>
      </c>
      <c r="P19" t="e">
        <f>AND('3'!#REF!,"AAAAAH5u+w8=")</f>
        <v>#REF!</v>
      </c>
      <c r="Q19" t="e">
        <f>AND('3'!#REF!,"AAAAAH5u+xA=")</f>
        <v>#REF!</v>
      </c>
      <c r="R19" t="e">
        <f>AND('3'!#REF!,"AAAAAH5u+xE=")</f>
        <v>#REF!</v>
      </c>
      <c r="S19" t="e">
        <f>AND('3'!#REF!,"AAAAAH5u+xI=")</f>
        <v>#REF!</v>
      </c>
      <c r="T19" t="e">
        <f>AND('3'!#REF!,"AAAAAH5u+xM=")</f>
        <v>#REF!</v>
      </c>
      <c r="U19" t="e">
        <f>AND('3'!#REF!,"AAAAAH5u+xQ=")</f>
        <v>#REF!</v>
      </c>
      <c r="V19" t="e">
        <f>AND('3'!#REF!,"AAAAAH5u+xU=")</f>
        <v>#REF!</v>
      </c>
      <c r="W19" t="e">
        <f>AND('3'!#REF!,"AAAAAH5u+xY=")</f>
        <v>#REF!</v>
      </c>
      <c r="X19" t="e">
        <f>AND('3'!#REF!,"AAAAAH5u+xc=")</f>
        <v>#REF!</v>
      </c>
      <c r="Y19" t="e">
        <f>AND('3'!#REF!,"AAAAAH5u+xg=")</f>
        <v>#REF!</v>
      </c>
      <c r="Z19" t="e">
        <f>AND('3'!#REF!,"AAAAAH5u+xk=")</f>
        <v>#REF!</v>
      </c>
      <c r="AA19" t="e">
        <f>IF('3'!#REF!,"AAAAAH5u+xo=",0)</f>
        <v>#REF!</v>
      </c>
      <c r="AB19" t="e">
        <f>AND('3'!#REF!,"AAAAAH5u+xs=")</f>
        <v>#REF!</v>
      </c>
      <c r="AC19" t="e">
        <f>AND('3'!#REF!,"AAAAAH5u+xw=")</f>
        <v>#REF!</v>
      </c>
      <c r="AD19" t="e">
        <f>AND('3'!#REF!,"AAAAAH5u+x0=")</f>
        <v>#REF!</v>
      </c>
      <c r="AE19" t="e">
        <f>AND('3'!#REF!,"AAAAAH5u+x4=")</f>
        <v>#REF!</v>
      </c>
      <c r="AF19" t="e">
        <f>AND('3'!#REF!,"AAAAAH5u+x8=")</f>
        <v>#REF!</v>
      </c>
      <c r="AG19" t="e">
        <f>AND('3'!#REF!,"AAAAAH5u+yA=")</f>
        <v>#REF!</v>
      </c>
      <c r="AH19" t="e">
        <f>AND('3'!#REF!,"AAAAAH5u+yE=")</f>
        <v>#REF!</v>
      </c>
      <c r="AI19" t="e">
        <f>AND('3'!#REF!,"AAAAAH5u+yI=")</f>
        <v>#REF!</v>
      </c>
      <c r="AJ19" t="e">
        <f>AND('3'!#REF!,"AAAAAH5u+yM=")</f>
        <v>#REF!</v>
      </c>
      <c r="AK19" t="e">
        <f>AND('3'!#REF!,"AAAAAH5u+yQ=")</f>
        <v>#REF!</v>
      </c>
      <c r="AL19" t="e">
        <f>AND('3'!#REF!,"AAAAAH5u+yU=")</f>
        <v>#REF!</v>
      </c>
      <c r="AM19" t="e">
        <f>AND('3'!#REF!,"AAAAAH5u+yY=")</f>
        <v>#REF!</v>
      </c>
      <c r="AN19" t="e">
        <f>AND('3'!#REF!,"AAAAAH5u+yc=")</f>
        <v>#REF!</v>
      </c>
      <c r="AO19" t="e">
        <f>AND('3'!#REF!,"AAAAAH5u+yg=")</f>
        <v>#REF!</v>
      </c>
      <c r="AP19" t="e">
        <f>IF('3'!#REF!,"AAAAAH5u+yk=",0)</f>
        <v>#REF!</v>
      </c>
      <c r="AQ19" t="e">
        <f>AND('3'!#REF!,"AAAAAH5u+yo=")</f>
        <v>#REF!</v>
      </c>
      <c r="AR19" t="e">
        <f>AND('3'!#REF!,"AAAAAH5u+ys=")</f>
        <v>#REF!</v>
      </c>
      <c r="AS19" t="e">
        <f>AND('3'!#REF!,"AAAAAH5u+yw=")</f>
        <v>#REF!</v>
      </c>
      <c r="AT19" t="e">
        <f>AND('3'!#REF!,"AAAAAH5u+y0=")</f>
        <v>#REF!</v>
      </c>
      <c r="AU19" t="e">
        <f>AND('3'!#REF!,"AAAAAH5u+y4=")</f>
        <v>#REF!</v>
      </c>
      <c r="AV19" t="e">
        <f>AND('3'!#REF!,"AAAAAH5u+y8=")</f>
        <v>#REF!</v>
      </c>
      <c r="AW19" t="e">
        <f>AND('3'!#REF!,"AAAAAH5u+zA=")</f>
        <v>#REF!</v>
      </c>
      <c r="AX19" t="e">
        <f>AND('3'!#REF!,"AAAAAH5u+zE=")</f>
        <v>#REF!</v>
      </c>
      <c r="AY19" t="e">
        <f>AND('3'!#REF!,"AAAAAH5u+zI=")</f>
        <v>#REF!</v>
      </c>
      <c r="AZ19" t="e">
        <f>AND('3'!#REF!,"AAAAAH5u+zM=")</f>
        <v>#REF!</v>
      </c>
      <c r="BA19" t="e">
        <f>AND('3'!#REF!,"AAAAAH5u+zQ=")</f>
        <v>#REF!</v>
      </c>
      <c r="BB19" t="e">
        <f>AND('3'!#REF!,"AAAAAH5u+zU=")</f>
        <v>#REF!</v>
      </c>
      <c r="BC19" t="e">
        <f>AND('3'!#REF!,"AAAAAH5u+zY=")</f>
        <v>#REF!</v>
      </c>
      <c r="BD19" t="e">
        <f>AND('3'!#REF!,"AAAAAH5u+zc=")</f>
        <v>#REF!</v>
      </c>
      <c r="BE19" t="e">
        <f>IF('3'!#REF!,"AAAAAH5u+zg=",0)</f>
        <v>#REF!</v>
      </c>
      <c r="BF19" t="e">
        <f>AND('3'!#REF!,"AAAAAH5u+zk=")</f>
        <v>#REF!</v>
      </c>
      <c r="BG19" t="e">
        <f>AND('3'!#REF!,"AAAAAH5u+zo=")</f>
        <v>#REF!</v>
      </c>
      <c r="BH19" t="e">
        <f>AND('3'!#REF!,"AAAAAH5u+zs=")</f>
        <v>#REF!</v>
      </c>
      <c r="BI19" t="e">
        <f>AND('3'!#REF!,"AAAAAH5u+zw=")</f>
        <v>#REF!</v>
      </c>
      <c r="BJ19" t="e">
        <f>AND('3'!#REF!,"AAAAAH5u+z0=")</f>
        <v>#REF!</v>
      </c>
      <c r="BK19" t="e">
        <f>AND('3'!#REF!,"AAAAAH5u+z4=")</f>
        <v>#REF!</v>
      </c>
      <c r="BL19" t="e">
        <f>AND('3'!#REF!,"AAAAAH5u+z8=")</f>
        <v>#REF!</v>
      </c>
      <c r="BM19" t="e">
        <f>AND('3'!#REF!,"AAAAAH5u+0A=")</f>
        <v>#REF!</v>
      </c>
      <c r="BN19" t="e">
        <f>AND('3'!#REF!,"AAAAAH5u+0E=")</f>
        <v>#REF!</v>
      </c>
      <c r="BO19" t="e">
        <f>AND('3'!#REF!,"AAAAAH5u+0I=")</f>
        <v>#REF!</v>
      </c>
      <c r="BP19" t="e">
        <f>AND('3'!#REF!,"AAAAAH5u+0M=")</f>
        <v>#REF!</v>
      </c>
      <c r="BQ19" t="e">
        <f>AND('3'!#REF!,"AAAAAH5u+0Q=")</f>
        <v>#REF!</v>
      </c>
      <c r="BR19" t="e">
        <f>AND('3'!#REF!,"AAAAAH5u+0U=")</f>
        <v>#REF!</v>
      </c>
      <c r="BS19" t="e">
        <f>AND('3'!#REF!,"AAAAAH5u+0Y=")</f>
        <v>#REF!</v>
      </c>
      <c r="BT19" t="e">
        <f>IF('3'!#REF!,"AAAAAH5u+0c=",0)</f>
        <v>#REF!</v>
      </c>
      <c r="BU19" t="e">
        <f>AND('3'!#REF!,"AAAAAH5u+0g=")</f>
        <v>#REF!</v>
      </c>
      <c r="BV19" t="e">
        <f>AND('3'!#REF!,"AAAAAH5u+0k=")</f>
        <v>#REF!</v>
      </c>
      <c r="BW19" t="e">
        <f>AND('3'!#REF!,"AAAAAH5u+0o=")</f>
        <v>#REF!</v>
      </c>
      <c r="BX19" t="e">
        <f>AND('3'!#REF!,"AAAAAH5u+0s=")</f>
        <v>#REF!</v>
      </c>
      <c r="BY19" t="e">
        <f>AND('3'!#REF!,"AAAAAH5u+0w=")</f>
        <v>#REF!</v>
      </c>
      <c r="BZ19" t="e">
        <f>AND('3'!#REF!,"AAAAAH5u+00=")</f>
        <v>#REF!</v>
      </c>
      <c r="CA19" t="e">
        <f>AND('3'!#REF!,"AAAAAH5u+04=")</f>
        <v>#REF!</v>
      </c>
      <c r="CB19" t="e">
        <f>AND('3'!#REF!,"AAAAAH5u+08=")</f>
        <v>#REF!</v>
      </c>
      <c r="CC19" t="e">
        <f>AND('3'!#REF!,"AAAAAH5u+1A=")</f>
        <v>#REF!</v>
      </c>
      <c r="CD19" t="e">
        <f>AND('3'!#REF!,"AAAAAH5u+1E=")</f>
        <v>#REF!</v>
      </c>
      <c r="CE19" t="e">
        <f>AND('3'!#REF!,"AAAAAH5u+1I=")</f>
        <v>#REF!</v>
      </c>
      <c r="CF19" t="e">
        <f>AND('3'!#REF!,"AAAAAH5u+1M=")</f>
        <v>#REF!</v>
      </c>
      <c r="CG19" t="e">
        <f>AND('3'!#REF!,"AAAAAH5u+1Q=")</f>
        <v>#REF!</v>
      </c>
      <c r="CH19" t="e">
        <f>AND('3'!#REF!,"AAAAAH5u+1U=")</f>
        <v>#REF!</v>
      </c>
      <c r="CI19">
        <f>IF('3'!73:73,"AAAAAH5u+1Y=",0)</f>
        <v>0</v>
      </c>
      <c r="CJ19" t="e">
        <f>AND('3'!#REF!,"AAAAAH5u+1c=")</f>
        <v>#REF!</v>
      </c>
      <c r="CK19" t="e">
        <f>AND('3'!A73,"AAAAAH5u+1g=")</f>
        <v>#VALUE!</v>
      </c>
      <c r="CL19" t="e">
        <f>AND('3'!B73,"AAAAAH5u+1k=")</f>
        <v>#VALUE!</v>
      </c>
      <c r="CM19" t="e">
        <f>AND('3'!C73,"AAAAAH5u+1o=")</f>
        <v>#VALUE!</v>
      </c>
      <c r="CN19" t="e">
        <f>AND('3'!D73,"AAAAAH5u+1s=")</f>
        <v>#VALUE!</v>
      </c>
      <c r="CO19" t="e">
        <f>AND('3'!E73,"AAAAAH5u+1w=")</f>
        <v>#VALUE!</v>
      </c>
      <c r="CP19" t="e">
        <f>AND('3'!F73,"AAAAAH5u+10=")</f>
        <v>#VALUE!</v>
      </c>
      <c r="CQ19" t="e">
        <f>AND('3'!G73,"AAAAAH5u+14=")</f>
        <v>#VALUE!</v>
      </c>
      <c r="CR19" t="e">
        <f>AND('3'!H73,"AAAAAH5u+18=")</f>
        <v>#VALUE!</v>
      </c>
      <c r="CS19" t="e">
        <f>AND('3'!I73,"AAAAAH5u+2A=")</f>
        <v>#VALUE!</v>
      </c>
      <c r="CT19" t="e">
        <f>AND('3'!J73,"AAAAAH5u+2E=")</f>
        <v>#VALUE!</v>
      </c>
      <c r="CU19" t="e">
        <f>AND('3'!L73,"AAAAAH5u+2I=")</f>
        <v>#VALUE!</v>
      </c>
      <c r="CV19" t="e">
        <f>AND('3'!#REF!,"AAAAAH5u+2M=")</f>
        <v>#REF!</v>
      </c>
      <c r="CW19" t="e">
        <f>AND('3'!#REF!,"AAAAAH5u+2Q=")</f>
        <v>#REF!</v>
      </c>
      <c r="CX19">
        <f>IF('3'!74:74,"AAAAAH5u+2U=",0)</f>
        <v>0</v>
      </c>
      <c r="CY19" t="e">
        <f>AND('3'!#REF!,"AAAAAH5u+2Y=")</f>
        <v>#REF!</v>
      </c>
      <c r="CZ19" t="e">
        <f>AND('3'!A74,"AAAAAH5u+2c=")</f>
        <v>#VALUE!</v>
      </c>
      <c r="DA19" t="e">
        <f>AND('3'!B74,"AAAAAH5u+2g=")</f>
        <v>#VALUE!</v>
      </c>
      <c r="DB19" t="e">
        <f>AND('3'!C74,"AAAAAH5u+2k=")</f>
        <v>#VALUE!</v>
      </c>
      <c r="DC19" t="e">
        <f>AND('3'!D74,"AAAAAH5u+2o=")</f>
        <v>#VALUE!</v>
      </c>
      <c r="DD19" t="e">
        <f>AND('3'!E74,"AAAAAH5u+2s=")</f>
        <v>#VALUE!</v>
      </c>
      <c r="DE19" t="e">
        <f>AND('3'!F74,"AAAAAH5u+2w=")</f>
        <v>#VALUE!</v>
      </c>
      <c r="DF19" t="e">
        <f>AND('3'!G74,"AAAAAH5u+20=")</f>
        <v>#VALUE!</v>
      </c>
      <c r="DG19" t="e">
        <f>AND('3'!H74,"AAAAAH5u+24=")</f>
        <v>#VALUE!</v>
      </c>
      <c r="DH19" t="e">
        <f>AND('3'!I74,"AAAAAH5u+28=")</f>
        <v>#VALUE!</v>
      </c>
      <c r="DI19" t="e">
        <f>AND('3'!J74,"AAAAAH5u+3A=")</f>
        <v>#VALUE!</v>
      </c>
      <c r="DJ19" t="e">
        <f>AND('3'!L74,"AAAAAH5u+3E=")</f>
        <v>#VALUE!</v>
      </c>
      <c r="DK19" t="e">
        <f>AND('3'!#REF!,"AAAAAH5u+3I=")</f>
        <v>#REF!</v>
      </c>
      <c r="DL19" t="e">
        <f>AND('3'!#REF!,"AAAAAH5u+3M=")</f>
        <v>#REF!</v>
      </c>
      <c r="DM19">
        <f>IF('3'!76:76,"AAAAAH5u+3Q=",0)</f>
        <v>0</v>
      </c>
      <c r="DN19" t="e">
        <f>AND('3'!#REF!,"AAAAAH5u+3U=")</f>
        <v>#REF!</v>
      </c>
      <c r="DO19" t="e">
        <f>AND('3'!A76,"AAAAAH5u+3Y=")</f>
        <v>#VALUE!</v>
      </c>
      <c r="DP19" t="e">
        <f>AND('3'!B76,"AAAAAH5u+3c=")</f>
        <v>#VALUE!</v>
      </c>
      <c r="DQ19" t="e">
        <f>AND('3'!C76,"AAAAAH5u+3g=")</f>
        <v>#VALUE!</v>
      </c>
      <c r="DR19" t="e">
        <f>AND('3'!D76,"AAAAAH5u+3k=")</f>
        <v>#VALUE!</v>
      </c>
      <c r="DS19" t="e">
        <f>AND('3'!E76,"AAAAAH5u+3o=")</f>
        <v>#VALUE!</v>
      </c>
      <c r="DT19" t="e">
        <f>AND('3'!F76,"AAAAAH5u+3s=")</f>
        <v>#VALUE!</v>
      </c>
      <c r="DU19" t="e">
        <f>AND('3'!G76,"AAAAAH5u+3w=")</f>
        <v>#VALUE!</v>
      </c>
      <c r="DV19" t="e">
        <f>AND('3'!H76,"AAAAAH5u+30=")</f>
        <v>#VALUE!</v>
      </c>
      <c r="DW19" t="e">
        <f>AND('3'!I76,"AAAAAH5u+34=")</f>
        <v>#VALUE!</v>
      </c>
      <c r="DX19" t="e">
        <f>AND('3'!J76,"AAAAAH5u+38=")</f>
        <v>#VALUE!</v>
      </c>
      <c r="DY19" t="e">
        <f>AND('3'!L76,"AAAAAH5u+4A=")</f>
        <v>#VALUE!</v>
      </c>
      <c r="DZ19" t="e">
        <f>AND('3'!#REF!,"AAAAAH5u+4E=")</f>
        <v>#REF!</v>
      </c>
      <c r="EA19" t="e">
        <f>AND('3'!#REF!,"AAAAAH5u+4I=")</f>
        <v>#REF!</v>
      </c>
      <c r="EB19">
        <f>IF('3'!77:77,"AAAAAH5u+4M=",0)</f>
        <v>0</v>
      </c>
      <c r="EC19">
        <f>IF('3'!78:78,"AAAAAH5u+4Q=",0)</f>
        <v>0</v>
      </c>
      <c r="ED19">
        <f>IF('3'!79:79,"AAAAAH5u+4U=",0)</f>
        <v>0</v>
      </c>
      <c r="EE19">
        <f>IF('3'!80:80,"AAAAAH5u+4Y=",0)</f>
        <v>0</v>
      </c>
      <c r="EF19">
        <f>IF('3'!81:81,"AAAAAH5u+4c=",0)</f>
        <v>0</v>
      </c>
      <c r="EG19">
        <f>IF('3'!82:82,"AAAAAH5u+4g=",0)</f>
        <v>0</v>
      </c>
      <c r="EH19">
        <f>IF('3'!83:83,"AAAAAH5u+4k=",0)</f>
        <v>0</v>
      </c>
      <c r="EI19">
        <f>IF('3'!84:84,"AAAAAH5u+4o=",0)</f>
        <v>0</v>
      </c>
      <c r="EJ19" t="e">
        <f>IF('3'!#REF!,"AAAAAH5u+4s=",0)</f>
        <v>#REF!</v>
      </c>
      <c r="EK19">
        <f>IF('3'!A:A,"AAAAAH5u+4w=",0)</f>
        <v>0</v>
      </c>
      <c r="EL19" t="e">
        <f>IF('3'!B:B,"AAAAAH5u+40=",0)</f>
        <v>#VALUE!</v>
      </c>
      <c r="EM19" t="str">
        <f>IF('3'!C:C,"AAAAAH5u+44=",0)</f>
        <v>AAAAAH5u+44=</v>
      </c>
      <c r="EN19" t="str">
        <f>IF('3'!D:D,"AAAAAH5u+48=",0)</f>
        <v>AAAAAH5u+48=</v>
      </c>
      <c r="EO19" t="str">
        <f>IF('3'!E:E,"AAAAAH5u+5A=",0)</f>
        <v>AAAAAH5u+5A=</v>
      </c>
      <c r="EP19" t="str">
        <f>IF('3'!F:F,"AAAAAH5u+5E=",0)</f>
        <v>AAAAAH5u+5E=</v>
      </c>
      <c r="EQ19" t="str">
        <f>IF('3'!G:G,"AAAAAH5u+5I=",0)</f>
        <v>AAAAAH5u+5I=</v>
      </c>
      <c r="ER19" t="str">
        <f>IF('3'!H:H,"AAAAAH5u+5M=",0)</f>
        <v>AAAAAH5u+5M=</v>
      </c>
      <c r="ES19" t="str">
        <f>IF('3'!I:I,"AAAAAH5u+5Q=",0)</f>
        <v>AAAAAH5u+5Q=</v>
      </c>
      <c r="ET19" t="str">
        <f>IF('3'!J:J,"AAAAAH5u+5U=",0)</f>
        <v>AAAAAH5u+5U=</v>
      </c>
      <c r="EU19">
        <f>IF('3'!L:L,"AAAAAH5u+5Y=",0)</f>
        <v>0</v>
      </c>
      <c r="EV19" t="e">
        <f ca="1">IF(_xlfn.SINGLE('3'!#REF!),"AAAAAH5u+5c=",0)</f>
        <v>#NAME?</v>
      </c>
      <c r="EW19" t="e">
        <f ca="1">IF(_xlfn.SINGLE('3'!#REF!),"AAAAAH5u+5g=",0)</f>
        <v>#NAME?</v>
      </c>
      <c r="EX19" t="e">
        <f>IF(#REF!,"AAAAAH5u+5k=",0)</f>
        <v>#REF!</v>
      </c>
      <c r="EY19" t="e">
        <f>AND(#REF!,"AAAAAH5u+5o=")</f>
        <v>#REF!</v>
      </c>
      <c r="EZ19" t="e">
        <f>AND(#REF!,"AAAAAH5u+5s=")</f>
        <v>#REF!</v>
      </c>
      <c r="FA19" t="e">
        <f>AND(#REF!,"AAAAAH5u+5w=")</f>
        <v>#REF!</v>
      </c>
      <c r="FB19" t="e">
        <f>AND(#REF!,"AAAAAH5u+50=")</f>
        <v>#REF!</v>
      </c>
      <c r="FC19" t="e">
        <f>AND(#REF!,"AAAAAH5u+54=")</f>
        <v>#REF!</v>
      </c>
      <c r="FD19" t="e">
        <f>AND(#REF!,"AAAAAH5u+58=")</f>
        <v>#REF!</v>
      </c>
      <c r="FE19" t="e">
        <f>AND(#REF!,"AAAAAH5u+6A=")</f>
        <v>#REF!</v>
      </c>
      <c r="FF19" t="e">
        <f>AND(#REF!,"AAAAAH5u+6E=")</f>
        <v>#REF!</v>
      </c>
      <c r="FG19" t="e">
        <f>AND(#REF!,"AAAAAH5u+6I=")</f>
        <v>#REF!</v>
      </c>
      <c r="FH19" t="e">
        <f>AND(#REF!,"AAAAAH5u+6M=")</f>
        <v>#REF!</v>
      </c>
      <c r="FI19" t="e">
        <f>AND(#REF!,"AAAAAH5u+6Q=")</f>
        <v>#REF!</v>
      </c>
      <c r="FJ19" t="e">
        <f>AND(#REF!,"AAAAAH5u+6U=")</f>
        <v>#REF!</v>
      </c>
      <c r="FK19" t="e">
        <f>AND(#REF!,"AAAAAH5u+6Y=")</f>
        <v>#REF!</v>
      </c>
      <c r="FL19" t="e">
        <f>AND(#REF!,"AAAAAH5u+6c=")</f>
        <v>#REF!</v>
      </c>
      <c r="FM19" t="e">
        <f>IF(#REF!,"AAAAAH5u+6g=",0)</f>
        <v>#REF!</v>
      </c>
      <c r="FN19" t="e">
        <f>AND(#REF!,"AAAAAH5u+6k=")</f>
        <v>#REF!</v>
      </c>
      <c r="FO19" t="e">
        <f>AND(#REF!,"AAAAAH5u+6o=")</f>
        <v>#REF!</v>
      </c>
      <c r="FP19" t="e">
        <f>AND(#REF!,"AAAAAH5u+6s=")</f>
        <v>#REF!</v>
      </c>
      <c r="FQ19" t="e">
        <f>AND(#REF!,"AAAAAH5u+6w=")</f>
        <v>#REF!</v>
      </c>
      <c r="FR19" t="e">
        <f>AND(#REF!,"AAAAAH5u+60=")</f>
        <v>#REF!</v>
      </c>
      <c r="FS19" t="e">
        <f>AND(#REF!,"AAAAAH5u+64=")</f>
        <v>#REF!</v>
      </c>
      <c r="FT19" t="e">
        <f>AND(#REF!,"AAAAAH5u+68=")</f>
        <v>#REF!</v>
      </c>
      <c r="FU19" t="e">
        <f>AND(#REF!,"AAAAAH5u+7A=")</f>
        <v>#REF!</v>
      </c>
      <c r="FV19" t="e">
        <f>AND(#REF!,"AAAAAH5u+7E=")</f>
        <v>#REF!</v>
      </c>
      <c r="FW19" t="e">
        <f>AND(#REF!,"AAAAAH5u+7I=")</f>
        <v>#REF!</v>
      </c>
      <c r="FX19" t="e">
        <f>AND(#REF!,"AAAAAH5u+7M=")</f>
        <v>#REF!</v>
      </c>
      <c r="FY19" t="e">
        <f>AND(#REF!,"AAAAAH5u+7Q=")</f>
        <v>#REF!</v>
      </c>
      <c r="FZ19" t="e">
        <f>AND(#REF!,"AAAAAH5u+7U=")</f>
        <v>#REF!</v>
      </c>
      <c r="GA19" t="e">
        <f>AND(#REF!,"AAAAAH5u+7Y=")</f>
        <v>#REF!</v>
      </c>
      <c r="GB19" t="e">
        <f>IF(#REF!,"AAAAAH5u+7c=",0)</f>
        <v>#REF!</v>
      </c>
      <c r="GC19" t="e">
        <f>AND(#REF!,"AAAAAH5u+7g=")</f>
        <v>#REF!</v>
      </c>
      <c r="GD19" t="e">
        <f>AND(#REF!,"AAAAAH5u+7k=")</f>
        <v>#REF!</v>
      </c>
      <c r="GE19" t="e">
        <f>AND(#REF!,"AAAAAH5u+7o=")</f>
        <v>#REF!</v>
      </c>
      <c r="GF19" t="e">
        <f>AND(#REF!,"AAAAAH5u+7s=")</f>
        <v>#REF!</v>
      </c>
      <c r="GG19" t="e">
        <f>AND(#REF!,"AAAAAH5u+7w=")</f>
        <v>#REF!</v>
      </c>
      <c r="GH19" t="e">
        <f>AND(#REF!,"AAAAAH5u+70=")</f>
        <v>#REF!</v>
      </c>
      <c r="GI19" t="e">
        <f>AND(#REF!,"AAAAAH5u+74=")</f>
        <v>#REF!</v>
      </c>
      <c r="GJ19" t="e">
        <f>AND(#REF!,"AAAAAH5u+78=")</f>
        <v>#REF!</v>
      </c>
      <c r="GK19" t="e">
        <f>AND(#REF!,"AAAAAH5u+8A=")</f>
        <v>#REF!</v>
      </c>
      <c r="GL19" t="e">
        <f>AND(#REF!,"AAAAAH5u+8E=")</f>
        <v>#REF!</v>
      </c>
      <c r="GM19" t="e">
        <f>AND(#REF!,"AAAAAH5u+8I=")</f>
        <v>#REF!</v>
      </c>
      <c r="GN19" t="e">
        <f>AND(#REF!,"AAAAAH5u+8M=")</f>
        <v>#REF!</v>
      </c>
      <c r="GO19" t="e">
        <f>AND(#REF!,"AAAAAH5u+8Q=")</f>
        <v>#REF!</v>
      </c>
      <c r="GP19" t="e">
        <f>AND(#REF!,"AAAAAH5u+8U=")</f>
        <v>#REF!</v>
      </c>
      <c r="GQ19" t="e">
        <f>IF(#REF!,"AAAAAH5u+8Y=",0)</f>
        <v>#REF!</v>
      </c>
      <c r="GR19" t="e">
        <f>AND(#REF!,"AAAAAH5u+8c=")</f>
        <v>#REF!</v>
      </c>
      <c r="GS19" t="e">
        <f>AND(#REF!,"AAAAAH5u+8g=")</f>
        <v>#REF!</v>
      </c>
      <c r="GT19" t="e">
        <f>AND(#REF!,"AAAAAH5u+8k=")</f>
        <v>#REF!</v>
      </c>
      <c r="GU19" t="e">
        <f>AND(#REF!,"AAAAAH5u+8o=")</f>
        <v>#REF!</v>
      </c>
      <c r="GV19" t="e">
        <f>AND(#REF!,"AAAAAH5u+8s=")</f>
        <v>#REF!</v>
      </c>
      <c r="GW19" t="e">
        <f>AND(#REF!,"AAAAAH5u+8w=")</f>
        <v>#REF!</v>
      </c>
      <c r="GX19" t="e">
        <f>AND(#REF!,"AAAAAH5u+80=")</f>
        <v>#REF!</v>
      </c>
      <c r="GY19" t="e">
        <f>AND(#REF!,"AAAAAH5u+84=")</f>
        <v>#REF!</v>
      </c>
      <c r="GZ19" t="e">
        <f>AND(#REF!,"AAAAAH5u+88=")</f>
        <v>#REF!</v>
      </c>
      <c r="HA19" t="e">
        <f>AND(#REF!,"AAAAAH5u+9A=")</f>
        <v>#REF!</v>
      </c>
      <c r="HB19" t="e">
        <f>AND(#REF!,"AAAAAH5u+9E=")</f>
        <v>#REF!</v>
      </c>
      <c r="HC19" t="e">
        <f>AND(#REF!,"AAAAAH5u+9I=")</f>
        <v>#REF!</v>
      </c>
      <c r="HD19" t="e">
        <f>AND(#REF!,"AAAAAH5u+9M=")</f>
        <v>#REF!</v>
      </c>
      <c r="HE19" t="e">
        <f>AND(#REF!,"AAAAAH5u+9Q=")</f>
        <v>#REF!</v>
      </c>
      <c r="HF19" t="e">
        <f>IF(#REF!,"AAAAAH5u+9U=",0)</f>
        <v>#REF!</v>
      </c>
      <c r="HG19" t="e">
        <f>AND(#REF!,"AAAAAH5u+9Y=")</f>
        <v>#REF!</v>
      </c>
      <c r="HH19" t="e">
        <f>AND(#REF!,"AAAAAH5u+9c=")</f>
        <v>#REF!</v>
      </c>
      <c r="HI19" t="e">
        <f>AND(#REF!,"AAAAAH5u+9g=")</f>
        <v>#REF!</v>
      </c>
      <c r="HJ19" t="e">
        <f>AND(#REF!,"AAAAAH5u+9k=")</f>
        <v>#REF!</v>
      </c>
      <c r="HK19" t="e">
        <f>AND(#REF!,"AAAAAH5u+9o=")</f>
        <v>#REF!</v>
      </c>
      <c r="HL19" t="e">
        <f>AND(#REF!,"AAAAAH5u+9s=")</f>
        <v>#REF!</v>
      </c>
      <c r="HM19" t="e">
        <f>AND(#REF!,"AAAAAH5u+9w=")</f>
        <v>#REF!</v>
      </c>
      <c r="HN19" t="e">
        <f>AND(#REF!,"AAAAAH5u+90=")</f>
        <v>#REF!</v>
      </c>
      <c r="HO19" t="e">
        <f>AND(#REF!,"AAAAAH5u+94=")</f>
        <v>#REF!</v>
      </c>
      <c r="HP19" t="e">
        <f>AND(#REF!,"AAAAAH5u+98=")</f>
        <v>#REF!</v>
      </c>
      <c r="HQ19" t="e">
        <f>AND(#REF!,"AAAAAH5u++A=")</f>
        <v>#REF!</v>
      </c>
      <c r="HR19" t="e">
        <f>AND(#REF!,"AAAAAH5u++E=")</f>
        <v>#REF!</v>
      </c>
      <c r="HS19" t="e">
        <f>AND(#REF!,"AAAAAH5u++I=")</f>
        <v>#REF!</v>
      </c>
      <c r="HT19" t="e">
        <f>AND(#REF!,"AAAAAH5u++M=")</f>
        <v>#REF!</v>
      </c>
      <c r="HU19" t="e">
        <f>IF(#REF!,"AAAAAH5u++Q=",0)</f>
        <v>#REF!</v>
      </c>
      <c r="HV19" t="e">
        <f>AND(#REF!,"AAAAAH5u++U=")</f>
        <v>#REF!</v>
      </c>
      <c r="HW19" t="e">
        <f>AND(#REF!,"AAAAAH5u++Y=")</f>
        <v>#REF!</v>
      </c>
      <c r="HX19" t="e">
        <f>AND(#REF!,"AAAAAH5u++c=")</f>
        <v>#REF!</v>
      </c>
      <c r="HY19" t="e">
        <f>AND(#REF!,"AAAAAH5u++g=")</f>
        <v>#REF!</v>
      </c>
      <c r="HZ19" t="e">
        <f>AND(#REF!,"AAAAAH5u++k=")</f>
        <v>#REF!</v>
      </c>
      <c r="IA19" t="e">
        <f>AND(#REF!,"AAAAAH5u++o=")</f>
        <v>#REF!</v>
      </c>
      <c r="IB19" t="e">
        <f>AND(#REF!,"AAAAAH5u++s=")</f>
        <v>#REF!</v>
      </c>
      <c r="IC19" t="e">
        <f>AND(#REF!,"AAAAAH5u++w=")</f>
        <v>#REF!</v>
      </c>
      <c r="ID19" t="e">
        <f>AND(#REF!,"AAAAAH5u++0=")</f>
        <v>#REF!</v>
      </c>
      <c r="IE19" t="e">
        <f>AND(#REF!,"AAAAAH5u++4=")</f>
        <v>#REF!</v>
      </c>
      <c r="IF19" t="e">
        <f>AND(#REF!,"AAAAAH5u++8=")</f>
        <v>#REF!</v>
      </c>
      <c r="IG19" t="e">
        <f>AND(#REF!,"AAAAAH5u+/A=")</f>
        <v>#REF!</v>
      </c>
      <c r="IH19" t="e">
        <f>AND(#REF!,"AAAAAH5u+/E=")</f>
        <v>#REF!</v>
      </c>
      <c r="II19" t="e">
        <f>AND(#REF!,"AAAAAH5u+/I=")</f>
        <v>#REF!</v>
      </c>
      <c r="IJ19" t="e">
        <f>IF(#REF!,"AAAAAH5u+/M=",0)</f>
        <v>#REF!</v>
      </c>
      <c r="IK19" t="e">
        <f>AND(#REF!,"AAAAAH5u+/Q=")</f>
        <v>#REF!</v>
      </c>
      <c r="IL19" t="e">
        <f>AND(#REF!,"AAAAAH5u+/U=")</f>
        <v>#REF!</v>
      </c>
      <c r="IM19" t="e">
        <f>AND(#REF!,"AAAAAH5u+/Y=")</f>
        <v>#REF!</v>
      </c>
      <c r="IN19" t="e">
        <f>AND(#REF!,"AAAAAH5u+/c=")</f>
        <v>#REF!</v>
      </c>
      <c r="IO19" t="e">
        <f>AND(#REF!,"AAAAAH5u+/g=")</f>
        <v>#REF!</v>
      </c>
      <c r="IP19" t="e">
        <f>AND(#REF!,"AAAAAH5u+/k=")</f>
        <v>#REF!</v>
      </c>
      <c r="IQ19" t="e">
        <f>AND(#REF!,"AAAAAH5u+/o=")</f>
        <v>#REF!</v>
      </c>
      <c r="IR19" t="e">
        <f>AND(#REF!,"AAAAAH5u+/s=")</f>
        <v>#REF!</v>
      </c>
      <c r="IS19" t="e">
        <f>AND(#REF!,"AAAAAH5u+/w=")</f>
        <v>#REF!</v>
      </c>
      <c r="IT19" t="e">
        <f>AND(#REF!,"AAAAAH5u+/0=")</f>
        <v>#REF!</v>
      </c>
      <c r="IU19" t="e">
        <f>AND(#REF!,"AAAAAH5u+/4=")</f>
        <v>#REF!</v>
      </c>
      <c r="IV19" t="e">
        <f>AND(#REF!,"AAAAAH5u+/8=")</f>
        <v>#REF!</v>
      </c>
    </row>
    <row r="20" spans="1:256" x14ac:dyDescent="0.25">
      <c r="A20" t="e">
        <f>AND(#REF!,"AAAAAH9r9gA=")</f>
        <v>#REF!</v>
      </c>
      <c r="B20" t="e">
        <f>AND(#REF!,"AAAAAH9r9gE=")</f>
        <v>#REF!</v>
      </c>
      <c r="C20" t="e">
        <f>IF(#REF!,"AAAAAH9r9gI=",0)</f>
        <v>#REF!</v>
      </c>
      <c r="D20" t="e">
        <f>AND(#REF!,"AAAAAH9r9gM=")</f>
        <v>#REF!</v>
      </c>
      <c r="E20" t="e">
        <f>AND(#REF!,"AAAAAH9r9gQ=")</f>
        <v>#REF!</v>
      </c>
      <c r="F20" t="e">
        <f>AND(#REF!,"AAAAAH9r9gU=")</f>
        <v>#REF!</v>
      </c>
      <c r="G20" t="e">
        <f>AND(#REF!,"AAAAAH9r9gY=")</f>
        <v>#REF!</v>
      </c>
      <c r="H20" t="e">
        <f>AND(#REF!,"AAAAAH9r9gc=")</f>
        <v>#REF!</v>
      </c>
      <c r="I20" t="e">
        <f>AND(#REF!,"AAAAAH9r9gg=")</f>
        <v>#REF!</v>
      </c>
      <c r="J20" t="e">
        <f>AND(#REF!,"AAAAAH9r9gk=")</f>
        <v>#REF!</v>
      </c>
      <c r="K20" t="e">
        <f>AND(#REF!,"AAAAAH9r9go=")</f>
        <v>#REF!</v>
      </c>
      <c r="L20" t="e">
        <f>AND(#REF!,"AAAAAH9r9gs=")</f>
        <v>#REF!</v>
      </c>
      <c r="M20" t="e">
        <f>AND(#REF!,"AAAAAH9r9gw=")</f>
        <v>#REF!</v>
      </c>
      <c r="N20" t="e">
        <f>AND(#REF!,"AAAAAH9r9g0=")</f>
        <v>#REF!</v>
      </c>
      <c r="O20" t="e">
        <f>AND(#REF!,"AAAAAH9r9g4=")</f>
        <v>#REF!</v>
      </c>
      <c r="P20" t="e">
        <f>AND(#REF!,"AAAAAH9r9g8=")</f>
        <v>#REF!</v>
      </c>
      <c r="Q20" t="e">
        <f>AND(#REF!,"AAAAAH9r9hA=")</f>
        <v>#REF!</v>
      </c>
      <c r="R20" t="e">
        <f>IF(#REF!,"AAAAAH9r9hE=",0)</f>
        <v>#REF!</v>
      </c>
      <c r="S20" t="e">
        <f>AND(#REF!,"AAAAAH9r9hI=")</f>
        <v>#REF!</v>
      </c>
      <c r="T20" t="e">
        <f>AND(#REF!,"AAAAAH9r9hM=")</f>
        <v>#REF!</v>
      </c>
      <c r="U20" t="e">
        <f>AND(#REF!,"AAAAAH9r9hQ=")</f>
        <v>#REF!</v>
      </c>
      <c r="V20" t="e">
        <f>AND(#REF!,"AAAAAH9r9hU=")</f>
        <v>#REF!</v>
      </c>
      <c r="W20" t="e">
        <f>AND(#REF!,"AAAAAH9r9hY=")</f>
        <v>#REF!</v>
      </c>
      <c r="X20" t="e">
        <f>AND(#REF!,"AAAAAH9r9hc=")</f>
        <v>#REF!</v>
      </c>
      <c r="Y20" t="e">
        <f>AND(#REF!,"AAAAAH9r9hg=")</f>
        <v>#REF!</v>
      </c>
      <c r="Z20" t="e">
        <f>AND(#REF!,"AAAAAH9r9hk=")</f>
        <v>#REF!</v>
      </c>
      <c r="AA20" t="e">
        <f>AND(#REF!,"AAAAAH9r9ho=")</f>
        <v>#REF!</v>
      </c>
      <c r="AB20" t="e">
        <f>AND(#REF!,"AAAAAH9r9hs=")</f>
        <v>#REF!</v>
      </c>
      <c r="AC20" t="e">
        <f>AND(#REF!,"AAAAAH9r9hw=")</f>
        <v>#REF!</v>
      </c>
      <c r="AD20" t="e">
        <f>AND(#REF!,"AAAAAH9r9h0=")</f>
        <v>#REF!</v>
      </c>
      <c r="AE20" t="e">
        <f>AND(#REF!,"AAAAAH9r9h4=")</f>
        <v>#REF!</v>
      </c>
      <c r="AF20" t="e">
        <f>AND(#REF!,"AAAAAH9r9h8=")</f>
        <v>#REF!</v>
      </c>
      <c r="AG20" t="e">
        <f>IF(#REF!,"AAAAAH9r9iA=",0)</f>
        <v>#REF!</v>
      </c>
      <c r="AH20" t="e">
        <f>AND(#REF!,"AAAAAH9r9iE=")</f>
        <v>#REF!</v>
      </c>
      <c r="AI20" t="e">
        <f>AND(#REF!,"AAAAAH9r9iI=")</f>
        <v>#REF!</v>
      </c>
      <c r="AJ20" t="e">
        <f>AND(#REF!,"AAAAAH9r9iM=")</f>
        <v>#REF!</v>
      </c>
      <c r="AK20" t="e">
        <f>AND(#REF!,"AAAAAH9r9iQ=")</f>
        <v>#REF!</v>
      </c>
      <c r="AL20" t="e">
        <f>AND(#REF!,"AAAAAH9r9iU=")</f>
        <v>#REF!</v>
      </c>
      <c r="AM20" t="e">
        <f>AND(#REF!,"AAAAAH9r9iY=")</f>
        <v>#REF!</v>
      </c>
      <c r="AN20" t="e">
        <f>AND(#REF!,"AAAAAH9r9ic=")</f>
        <v>#REF!</v>
      </c>
      <c r="AO20" t="e">
        <f>AND(#REF!,"AAAAAH9r9ig=")</f>
        <v>#REF!</v>
      </c>
      <c r="AP20" t="e">
        <f>AND(#REF!,"AAAAAH9r9ik=")</f>
        <v>#REF!</v>
      </c>
      <c r="AQ20" t="e">
        <f>AND(#REF!,"AAAAAH9r9io=")</f>
        <v>#REF!</v>
      </c>
      <c r="AR20" t="e">
        <f>AND(#REF!,"AAAAAH9r9is=")</f>
        <v>#REF!</v>
      </c>
      <c r="AS20" t="e">
        <f>AND(#REF!,"AAAAAH9r9iw=")</f>
        <v>#REF!</v>
      </c>
      <c r="AT20" t="e">
        <f>AND(#REF!,"AAAAAH9r9i0=")</f>
        <v>#REF!</v>
      </c>
      <c r="AU20" t="e">
        <f>AND(#REF!,"AAAAAH9r9i4=")</f>
        <v>#REF!</v>
      </c>
      <c r="AV20" t="e">
        <f>IF(#REF!,"AAAAAH9r9i8=",0)</f>
        <v>#REF!</v>
      </c>
      <c r="AW20" t="e">
        <f>AND(#REF!,"AAAAAH9r9jA=")</f>
        <v>#REF!</v>
      </c>
      <c r="AX20" t="e">
        <f>AND(#REF!,"AAAAAH9r9jE=")</f>
        <v>#REF!</v>
      </c>
      <c r="AY20" t="e">
        <f>AND(#REF!,"AAAAAH9r9jI=")</f>
        <v>#REF!</v>
      </c>
      <c r="AZ20" t="e">
        <f>AND(#REF!,"AAAAAH9r9jM=")</f>
        <v>#REF!</v>
      </c>
      <c r="BA20" t="e">
        <f>AND(#REF!,"AAAAAH9r9jQ=")</f>
        <v>#REF!</v>
      </c>
      <c r="BB20" t="e">
        <f>AND(#REF!,"AAAAAH9r9jU=")</f>
        <v>#REF!</v>
      </c>
      <c r="BC20" t="e">
        <f>AND(#REF!,"AAAAAH9r9jY=")</f>
        <v>#REF!</v>
      </c>
      <c r="BD20" t="e">
        <f>AND(#REF!,"AAAAAH9r9jc=")</f>
        <v>#REF!</v>
      </c>
      <c r="BE20" t="e">
        <f>AND(#REF!,"AAAAAH9r9jg=")</f>
        <v>#REF!</v>
      </c>
      <c r="BF20" t="e">
        <f>AND(#REF!,"AAAAAH9r9jk=")</f>
        <v>#REF!</v>
      </c>
      <c r="BG20" t="e">
        <f>AND(#REF!,"AAAAAH9r9jo=")</f>
        <v>#REF!</v>
      </c>
      <c r="BH20" t="e">
        <f>AND(#REF!,"AAAAAH9r9js=")</f>
        <v>#REF!</v>
      </c>
      <c r="BI20" t="e">
        <f>AND(#REF!,"AAAAAH9r9jw=")</f>
        <v>#REF!</v>
      </c>
      <c r="BJ20" t="e">
        <f>AND(#REF!,"AAAAAH9r9j0=")</f>
        <v>#REF!</v>
      </c>
      <c r="BK20" t="e">
        <f>IF(#REF!,"AAAAAH9r9j4=",0)</f>
        <v>#REF!</v>
      </c>
      <c r="BL20" t="e">
        <f>AND(#REF!,"AAAAAH9r9j8=")</f>
        <v>#REF!</v>
      </c>
      <c r="BM20" t="e">
        <f>AND(#REF!,"AAAAAH9r9kA=")</f>
        <v>#REF!</v>
      </c>
      <c r="BN20" t="e">
        <f>AND(#REF!,"AAAAAH9r9kE=")</f>
        <v>#REF!</v>
      </c>
      <c r="BO20" t="e">
        <f>AND(#REF!,"AAAAAH9r9kI=")</f>
        <v>#REF!</v>
      </c>
      <c r="BP20" t="e">
        <f>AND(#REF!,"AAAAAH9r9kM=")</f>
        <v>#REF!</v>
      </c>
      <c r="BQ20" t="e">
        <f>AND(#REF!,"AAAAAH9r9kQ=")</f>
        <v>#REF!</v>
      </c>
      <c r="BR20" t="e">
        <f>AND(#REF!,"AAAAAH9r9kU=")</f>
        <v>#REF!</v>
      </c>
      <c r="BS20" t="e">
        <f>AND(#REF!,"AAAAAH9r9kY=")</f>
        <v>#REF!</v>
      </c>
      <c r="BT20" t="e">
        <f>AND(#REF!,"AAAAAH9r9kc=")</f>
        <v>#REF!</v>
      </c>
      <c r="BU20" t="e">
        <f>AND(#REF!,"AAAAAH9r9kg=")</f>
        <v>#REF!</v>
      </c>
      <c r="BV20" t="e">
        <f>AND(#REF!,"AAAAAH9r9kk=")</f>
        <v>#REF!</v>
      </c>
      <c r="BW20" t="e">
        <f>AND(#REF!,"AAAAAH9r9ko=")</f>
        <v>#REF!</v>
      </c>
      <c r="BX20" t="e">
        <f>AND(#REF!,"AAAAAH9r9ks=")</f>
        <v>#REF!</v>
      </c>
      <c r="BY20" t="e">
        <f>AND(#REF!,"AAAAAH9r9kw=")</f>
        <v>#REF!</v>
      </c>
      <c r="BZ20" t="e">
        <f>IF(#REF!,"AAAAAH9r9k0=",0)</f>
        <v>#REF!</v>
      </c>
      <c r="CA20" t="e">
        <f>AND(#REF!,"AAAAAH9r9k4=")</f>
        <v>#REF!</v>
      </c>
      <c r="CB20" t="e">
        <f>AND(#REF!,"AAAAAH9r9k8=")</f>
        <v>#REF!</v>
      </c>
      <c r="CC20" t="e">
        <f>AND(#REF!,"AAAAAH9r9lA=")</f>
        <v>#REF!</v>
      </c>
      <c r="CD20" t="e">
        <f>AND(#REF!,"AAAAAH9r9lE=")</f>
        <v>#REF!</v>
      </c>
      <c r="CE20" t="e">
        <f>AND(#REF!,"AAAAAH9r9lI=")</f>
        <v>#REF!</v>
      </c>
      <c r="CF20" t="e">
        <f>AND(#REF!,"AAAAAH9r9lM=")</f>
        <v>#REF!</v>
      </c>
      <c r="CG20" t="e">
        <f>AND(#REF!,"AAAAAH9r9lQ=")</f>
        <v>#REF!</v>
      </c>
      <c r="CH20" t="e">
        <f>AND(#REF!,"AAAAAH9r9lU=")</f>
        <v>#REF!</v>
      </c>
      <c r="CI20" t="e">
        <f>AND(#REF!,"AAAAAH9r9lY=")</f>
        <v>#REF!</v>
      </c>
      <c r="CJ20" t="e">
        <f>AND(#REF!,"AAAAAH9r9lc=")</f>
        <v>#REF!</v>
      </c>
      <c r="CK20" t="e">
        <f>AND(#REF!,"AAAAAH9r9lg=")</f>
        <v>#REF!</v>
      </c>
      <c r="CL20" t="e">
        <f>AND(#REF!,"AAAAAH9r9lk=")</f>
        <v>#REF!</v>
      </c>
      <c r="CM20" t="e">
        <f>AND(#REF!,"AAAAAH9r9lo=")</f>
        <v>#REF!</v>
      </c>
      <c r="CN20" t="e">
        <f>AND(#REF!,"AAAAAH9r9ls=")</f>
        <v>#REF!</v>
      </c>
      <c r="CO20" t="e">
        <f>IF(#REF!,"AAAAAH9r9lw=",0)</f>
        <v>#REF!</v>
      </c>
      <c r="CP20" t="e">
        <f>AND(#REF!,"AAAAAH9r9l0=")</f>
        <v>#REF!</v>
      </c>
      <c r="CQ20" t="e">
        <f>AND(#REF!,"AAAAAH9r9l4=")</f>
        <v>#REF!</v>
      </c>
      <c r="CR20" t="e">
        <f>AND(#REF!,"AAAAAH9r9l8=")</f>
        <v>#REF!</v>
      </c>
      <c r="CS20" t="e">
        <f>AND(#REF!,"AAAAAH9r9mA=")</f>
        <v>#REF!</v>
      </c>
      <c r="CT20" t="e">
        <f>AND(#REF!,"AAAAAH9r9mE=")</f>
        <v>#REF!</v>
      </c>
      <c r="CU20" t="e">
        <f>AND(#REF!,"AAAAAH9r9mI=")</f>
        <v>#REF!</v>
      </c>
      <c r="CV20" t="e">
        <f>AND(#REF!,"AAAAAH9r9mM=")</f>
        <v>#REF!</v>
      </c>
      <c r="CW20" t="e">
        <f>AND(#REF!,"AAAAAH9r9mQ=")</f>
        <v>#REF!</v>
      </c>
      <c r="CX20" t="e">
        <f>AND(#REF!,"AAAAAH9r9mU=")</f>
        <v>#REF!</v>
      </c>
      <c r="CY20" t="e">
        <f>AND(#REF!,"AAAAAH9r9mY=")</f>
        <v>#REF!</v>
      </c>
      <c r="CZ20" t="e">
        <f>AND(#REF!,"AAAAAH9r9mc=")</f>
        <v>#REF!</v>
      </c>
      <c r="DA20" t="e">
        <f>AND(#REF!,"AAAAAH9r9mg=")</f>
        <v>#REF!</v>
      </c>
      <c r="DB20" t="e">
        <f>AND(#REF!,"AAAAAH9r9mk=")</f>
        <v>#REF!</v>
      </c>
      <c r="DC20" t="e">
        <f>AND(#REF!,"AAAAAH9r9mo=")</f>
        <v>#REF!</v>
      </c>
      <c r="DD20" t="e">
        <f>IF(#REF!,"AAAAAH9r9ms=",0)</f>
        <v>#REF!</v>
      </c>
      <c r="DE20" t="e">
        <f>AND(#REF!,"AAAAAH9r9mw=")</f>
        <v>#REF!</v>
      </c>
      <c r="DF20" t="e">
        <f>AND(#REF!,"AAAAAH9r9m0=")</f>
        <v>#REF!</v>
      </c>
      <c r="DG20" t="e">
        <f>AND(#REF!,"AAAAAH9r9m4=")</f>
        <v>#REF!</v>
      </c>
      <c r="DH20" t="e">
        <f>AND(#REF!,"AAAAAH9r9m8=")</f>
        <v>#REF!</v>
      </c>
      <c r="DI20" t="e">
        <f>AND(#REF!,"AAAAAH9r9nA=")</f>
        <v>#REF!</v>
      </c>
      <c r="DJ20" t="e">
        <f>AND(#REF!,"AAAAAH9r9nE=")</f>
        <v>#REF!</v>
      </c>
      <c r="DK20" t="e">
        <f>AND(#REF!,"AAAAAH9r9nI=")</f>
        <v>#REF!</v>
      </c>
      <c r="DL20" t="e">
        <f>AND(#REF!,"AAAAAH9r9nM=")</f>
        <v>#REF!</v>
      </c>
      <c r="DM20" t="e">
        <f>AND(#REF!,"AAAAAH9r9nQ=")</f>
        <v>#REF!</v>
      </c>
      <c r="DN20" t="e">
        <f>AND(#REF!,"AAAAAH9r9nU=")</f>
        <v>#REF!</v>
      </c>
      <c r="DO20" t="e">
        <f>AND(#REF!,"AAAAAH9r9nY=")</f>
        <v>#REF!</v>
      </c>
      <c r="DP20" t="e">
        <f>AND(#REF!,"AAAAAH9r9nc=")</f>
        <v>#REF!</v>
      </c>
      <c r="DQ20" t="e">
        <f>AND(#REF!,"AAAAAH9r9ng=")</f>
        <v>#REF!</v>
      </c>
      <c r="DR20" t="e">
        <f>AND(#REF!,"AAAAAH9r9nk=")</f>
        <v>#REF!</v>
      </c>
      <c r="DS20" t="e">
        <f>IF(#REF!,"AAAAAH9r9no=",0)</f>
        <v>#REF!</v>
      </c>
      <c r="DT20" t="e">
        <f>AND(#REF!,"AAAAAH9r9ns=")</f>
        <v>#REF!</v>
      </c>
      <c r="DU20" t="e">
        <f>AND(#REF!,"AAAAAH9r9nw=")</f>
        <v>#REF!</v>
      </c>
      <c r="DV20" t="e">
        <f>AND(#REF!,"AAAAAH9r9n0=")</f>
        <v>#REF!</v>
      </c>
      <c r="DW20" t="e">
        <f>AND(#REF!,"AAAAAH9r9n4=")</f>
        <v>#REF!</v>
      </c>
      <c r="DX20" t="e">
        <f>AND(#REF!,"AAAAAH9r9n8=")</f>
        <v>#REF!</v>
      </c>
      <c r="DY20" t="e">
        <f>AND(#REF!,"AAAAAH9r9oA=")</f>
        <v>#REF!</v>
      </c>
      <c r="DZ20" t="e">
        <f>AND(#REF!,"AAAAAH9r9oE=")</f>
        <v>#REF!</v>
      </c>
      <c r="EA20" t="e">
        <f>AND(#REF!,"AAAAAH9r9oI=")</f>
        <v>#REF!</v>
      </c>
      <c r="EB20" t="e">
        <f>AND(#REF!,"AAAAAH9r9oM=")</f>
        <v>#REF!</v>
      </c>
      <c r="EC20" t="e">
        <f>AND(#REF!,"AAAAAH9r9oQ=")</f>
        <v>#REF!</v>
      </c>
      <c r="ED20" t="e">
        <f>AND(#REF!,"AAAAAH9r9oU=")</f>
        <v>#REF!</v>
      </c>
      <c r="EE20" t="e">
        <f>AND(#REF!,"AAAAAH9r9oY=")</f>
        <v>#REF!</v>
      </c>
      <c r="EF20" t="e">
        <f>AND(#REF!,"AAAAAH9r9oc=")</f>
        <v>#REF!</v>
      </c>
      <c r="EG20" t="e">
        <f>AND(#REF!,"AAAAAH9r9og=")</f>
        <v>#REF!</v>
      </c>
      <c r="EH20" t="e">
        <f>IF(#REF!,"AAAAAH9r9ok=",0)</f>
        <v>#REF!</v>
      </c>
      <c r="EI20" t="e">
        <f>AND(#REF!,"AAAAAH9r9oo=")</f>
        <v>#REF!</v>
      </c>
      <c r="EJ20" t="e">
        <f>AND(#REF!,"AAAAAH9r9os=")</f>
        <v>#REF!</v>
      </c>
      <c r="EK20" t="e">
        <f>AND(#REF!,"AAAAAH9r9ow=")</f>
        <v>#REF!</v>
      </c>
      <c r="EL20" t="e">
        <f>AND(#REF!,"AAAAAH9r9o0=")</f>
        <v>#REF!</v>
      </c>
      <c r="EM20" t="e">
        <f>AND(#REF!,"AAAAAH9r9o4=")</f>
        <v>#REF!</v>
      </c>
      <c r="EN20" t="e">
        <f>AND(#REF!,"AAAAAH9r9o8=")</f>
        <v>#REF!</v>
      </c>
      <c r="EO20" t="e">
        <f>AND(#REF!,"AAAAAH9r9pA=")</f>
        <v>#REF!</v>
      </c>
      <c r="EP20" t="e">
        <f>AND(#REF!,"AAAAAH9r9pE=")</f>
        <v>#REF!</v>
      </c>
      <c r="EQ20" t="e">
        <f>AND(#REF!,"AAAAAH9r9pI=")</f>
        <v>#REF!</v>
      </c>
      <c r="ER20" t="e">
        <f>AND(#REF!,"AAAAAH9r9pM=")</f>
        <v>#REF!</v>
      </c>
      <c r="ES20" t="e">
        <f>AND(#REF!,"AAAAAH9r9pQ=")</f>
        <v>#REF!</v>
      </c>
      <c r="ET20" t="e">
        <f>AND(#REF!,"AAAAAH9r9pU=")</f>
        <v>#REF!</v>
      </c>
      <c r="EU20" t="e">
        <f>AND(#REF!,"AAAAAH9r9pY=")</f>
        <v>#REF!</v>
      </c>
      <c r="EV20" t="e">
        <f>AND(#REF!,"AAAAAH9r9pc=")</f>
        <v>#REF!</v>
      </c>
      <c r="EW20" t="e">
        <f>IF(#REF!,"AAAAAH9r9pg=",0)</f>
        <v>#REF!</v>
      </c>
      <c r="EX20" t="e">
        <f>AND(#REF!,"AAAAAH9r9pk=")</f>
        <v>#REF!</v>
      </c>
      <c r="EY20" t="e">
        <f>AND(#REF!,"AAAAAH9r9po=")</f>
        <v>#REF!</v>
      </c>
      <c r="EZ20" t="e">
        <f>AND(#REF!,"AAAAAH9r9ps=")</f>
        <v>#REF!</v>
      </c>
      <c r="FA20" t="e">
        <f>AND(#REF!,"AAAAAH9r9pw=")</f>
        <v>#REF!</v>
      </c>
      <c r="FB20" t="e">
        <f>AND(#REF!,"AAAAAH9r9p0=")</f>
        <v>#REF!</v>
      </c>
      <c r="FC20" t="e">
        <f>AND(#REF!,"AAAAAH9r9p4=")</f>
        <v>#REF!</v>
      </c>
      <c r="FD20" t="e">
        <f>AND(#REF!,"AAAAAH9r9p8=")</f>
        <v>#REF!</v>
      </c>
      <c r="FE20" t="e">
        <f>AND(#REF!,"AAAAAH9r9qA=")</f>
        <v>#REF!</v>
      </c>
      <c r="FF20" t="e">
        <f>AND(#REF!,"AAAAAH9r9qE=")</f>
        <v>#REF!</v>
      </c>
      <c r="FG20" t="e">
        <f>AND(#REF!,"AAAAAH9r9qI=")</f>
        <v>#REF!</v>
      </c>
      <c r="FH20" t="e">
        <f>AND(#REF!,"AAAAAH9r9qM=")</f>
        <v>#REF!</v>
      </c>
      <c r="FI20" t="e">
        <f>AND(#REF!,"AAAAAH9r9qQ=")</f>
        <v>#REF!</v>
      </c>
      <c r="FJ20" t="e">
        <f>AND(#REF!,"AAAAAH9r9qU=")</f>
        <v>#REF!</v>
      </c>
      <c r="FK20" t="e">
        <f>AND(#REF!,"AAAAAH9r9qY=")</f>
        <v>#REF!</v>
      </c>
      <c r="FL20" t="e">
        <f>IF(#REF!,"AAAAAH9r9qc=",0)</f>
        <v>#REF!</v>
      </c>
      <c r="FM20" t="e">
        <f>AND(#REF!,"AAAAAH9r9qg=")</f>
        <v>#REF!</v>
      </c>
      <c r="FN20" t="e">
        <f>AND(#REF!,"AAAAAH9r9qk=")</f>
        <v>#REF!</v>
      </c>
      <c r="FO20" t="e">
        <f>AND(#REF!,"AAAAAH9r9qo=")</f>
        <v>#REF!</v>
      </c>
      <c r="FP20" t="e">
        <f>AND(#REF!,"AAAAAH9r9qs=")</f>
        <v>#REF!</v>
      </c>
      <c r="FQ20" t="e">
        <f>AND(#REF!,"AAAAAH9r9qw=")</f>
        <v>#REF!</v>
      </c>
      <c r="FR20" t="e">
        <f>AND(#REF!,"AAAAAH9r9q0=")</f>
        <v>#REF!</v>
      </c>
      <c r="FS20" t="e">
        <f>AND(#REF!,"AAAAAH9r9q4=")</f>
        <v>#REF!</v>
      </c>
      <c r="FT20" t="e">
        <f>AND(#REF!,"AAAAAH9r9q8=")</f>
        <v>#REF!</v>
      </c>
      <c r="FU20" t="e">
        <f>AND(#REF!,"AAAAAH9r9rA=")</f>
        <v>#REF!</v>
      </c>
      <c r="FV20" t="e">
        <f>AND(#REF!,"AAAAAH9r9rE=")</f>
        <v>#REF!</v>
      </c>
      <c r="FW20" t="e">
        <f>AND(#REF!,"AAAAAH9r9rI=")</f>
        <v>#REF!</v>
      </c>
      <c r="FX20" t="e">
        <f>AND(#REF!,"AAAAAH9r9rM=")</f>
        <v>#REF!</v>
      </c>
      <c r="FY20" t="e">
        <f>AND(#REF!,"AAAAAH9r9rQ=")</f>
        <v>#REF!</v>
      </c>
      <c r="FZ20" t="e">
        <f>AND(#REF!,"AAAAAH9r9rU=")</f>
        <v>#REF!</v>
      </c>
      <c r="GA20" t="e">
        <f>IF(#REF!,"AAAAAH9r9rY=",0)</f>
        <v>#REF!</v>
      </c>
      <c r="GB20" t="e">
        <f>AND(#REF!,"AAAAAH9r9rc=")</f>
        <v>#REF!</v>
      </c>
      <c r="GC20" t="e">
        <f>AND(#REF!,"AAAAAH9r9rg=")</f>
        <v>#REF!</v>
      </c>
      <c r="GD20" t="e">
        <f>AND(#REF!,"AAAAAH9r9rk=")</f>
        <v>#REF!</v>
      </c>
      <c r="GE20" t="e">
        <f>AND(#REF!,"AAAAAH9r9ro=")</f>
        <v>#REF!</v>
      </c>
      <c r="GF20" t="e">
        <f>AND(#REF!,"AAAAAH9r9rs=")</f>
        <v>#REF!</v>
      </c>
      <c r="GG20" t="e">
        <f>AND(#REF!,"AAAAAH9r9rw=")</f>
        <v>#REF!</v>
      </c>
      <c r="GH20" t="e">
        <f>AND(#REF!,"AAAAAH9r9r0=")</f>
        <v>#REF!</v>
      </c>
      <c r="GI20" t="e">
        <f>AND(#REF!,"AAAAAH9r9r4=")</f>
        <v>#REF!</v>
      </c>
      <c r="GJ20" t="e">
        <f>AND(#REF!,"AAAAAH9r9r8=")</f>
        <v>#REF!</v>
      </c>
      <c r="GK20" t="e">
        <f>AND(#REF!,"AAAAAH9r9sA=")</f>
        <v>#REF!</v>
      </c>
      <c r="GL20" t="e">
        <f>AND(#REF!,"AAAAAH9r9sE=")</f>
        <v>#REF!</v>
      </c>
      <c r="GM20" t="e">
        <f>AND(#REF!,"AAAAAH9r9sI=")</f>
        <v>#REF!</v>
      </c>
      <c r="GN20" t="e">
        <f>AND(#REF!,"AAAAAH9r9sM=")</f>
        <v>#REF!</v>
      </c>
      <c r="GO20" t="e">
        <f>AND(#REF!,"AAAAAH9r9sQ=")</f>
        <v>#REF!</v>
      </c>
      <c r="GP20" t="e">
        <f>IF(#REF!,"AAAAAH9r9sU=",0)</f>
        <v>#REF!</v>
      </c>
      <c r="GQ20" t="e">
        <f>AND(#REF!,"AAAAAH9r9sY=")</f>
        <v>#REF!</v>
      </c>
      <c r="GR20" t="e">
        <f>AND(#REF!,"AAAAAH9r9sc=")</f>
        <v>#REF!</v>
      </c>
      <c r="GS20" t="e">
        <f>AND(#REF!,"AAAAAH9r9sg=")</f>
        <v>#REF!</v>
      </c>
      <c r="GT20" t="e">
        <f>AND(#REF!,"AAAAAH9r9sk=")</f>
        <v>#REF!</v>
      </c>
      <c r="GU20" t="e">
        <f>AND(#REF!,"AAAAAH9r9so=")</f>
        <v>#REF!</v>
      </c>
      <c r="GV20" t="e">
        <f>AND(#REF!,"AAAAAH9r9ss=")</f>
        <v>#REF!</v>
      </c>
      <c r="GW20" t="e">
        <f>AND(#REF!,"AAAAAH9r9sw=")</f>
        <v>#REF!</v>
      </c>
      <c r="GX20" t="e">
        <f>AND(#REF!,"AAAAAH9r9s0=")</f>
        <v>#REF!</v>
      </c>
      <c r="GY20" t="e">
        <f>AND(#REF!,"AAAAAH9r9s4=")</f>
        <v>#REF!</v>
      </c>
      <c r="GZ20" t="e">
        <f>AND(#REF!,"AAAAAH9r9s8=")</f>
        <v>#REF!</v>
      </c>
      <c r="HA20" t="e">
        <f>AND(#REF!,"AAAAAH9r9tA=")</f>
        <v>#REF!</v>
      </c>
      <c r="HB20" t="e">
        <f>AND(#REF!,"AAAAAH9r9tE=")</f>
        <v>#REF!</v>
      </c>
      <c r="HC20" t="e">
        <f>AND(#REF!,"AAAAAH9r9tI=")</f>
        <v>#REF!</v>
      </c>
      <c r="HD20" t="e">
        <f>AND(#REF!,"AAAAAH9r9tM=")</f>
        <v>#REF!</v>
      </c>
      <c r="HE20" t="e">
        <f>IF(#REF!,"AAAAAH9r9tQ=",0)</f>
        <v>#REF!</v>
      </c>
      <c r="HF20" t="e">
        <f>AND(#REF!,"AAAAAH9r9tU=")</f>
        <v>#REF!</v>
      </c>
      <c r="HG20" t="e">
        <f>AND(#REF!,"AAAAAH9r9tY=")</f>
        <v>#REF!</v>
      </c>
      <c r="HH20" t="e">
        <f>AND(#REF!,"AAAAAH9r9tc=")</f>
        <v>#REF!</v>
      </c>
      <c r="HI20" t="e">
        <f>AND(#REF!,"AAAAAH9r9tg=")</f>
        <v>#REF!</v>
      </c>
      <c r="HJ20" t="e">
        <f>AND(#REF!,"AAAAAH9r9tk=")</f>
        <v>#REF!</v>
      </c>
      <c r="HK20" t="e">
        <f>AND(#REF!,"AAAAAH9r9to=")</f>
        <v>#REF!</v>
      </c>
      <c r="HL20" t="e">
        <f>AND(#REF!,"AAAAAH9r9ts=")</f>
        <v>#REF!</v>
      </c>
      <c r="HM20" t="e">
        <f>AND(#REF!,"AAAAAH9r9tw=")</f>
        <v>#REF!</v>
      </c>
      <c r="HN20" t="e">
        <f>AND(#REF!,"AAAAAH9r9t0=")</f>
        <v>#REF!</v>
      </c>
      <c r="HO20" t="e">
        <f>AND(#REF!,"AAAAAH9r9t4=")</f>
        <v>#REF!</v>
      </c>
      <c r="HP20" t="e">
        <f>AND(#REF!,"AAAAAH9r9t8=")</f>
        <v>#REF!</v>
      </c>
      <c r="HQ20" t="e">
        <f>AND(#REF!,"AAAAAH9r9uA=")</f>
        <v>#REF!</v>
      </c>
      <c r="HR20" t="e">
        <f>AND(#REF!,"AAAAAH9r9uE=")</f>
        <v>#REF!</v>
      </c>
      <c r="HS20" t="e">
        <f>AND(#REF!,"AAAAAH9r9uI=")</f>
        <v>#REF!</v>
      </c>
      <c r="HT20" t="e">
        <f>IF(#REF!,"AAAAAH9r9uM=",0)</f>
        <v>#REF!</v>
      </c>
      <c r="HU20" t="e">
        <f>AND(#REF!,"AAAAAH9r9uQ=")</f>
        <v>#REF!</v>
      </c>
      <c r="HV20" t="e">
        <f>AND(#REF!,"AAAAAH9r9uU=")</f>
        <v>#REF!</v>
      </c>
      <c r="HW20" t="e">
        <f>AND(#REF!,"AAAAAH9r9uY=")</f>
        <v>#REF!</v>
      </c>
      <c r="HX20" t="e">
        <f>AND(#REF!,"AAAAAH9r9uc=")</f>
        <v>#REF!</v>
      </c>
      <c r="HY20" t="e">
        <f>AND(#REF!,"AAAAAH9r9ug=")</f>
        <v>#REF!</v>
      </c>
      <c r="HZ20" t="e">
        <f>AND(#REF!,"AAAAAH9r9uk=")</f>
        <v>#REF!</v>
      </c>
      <c r="IA20" t="e">
        <f>AND(#REF!,"AAAAAH9r9uo=")</f>
        <v>#REF!</v>
      </c>
      <c r="IB20" t="e">
        <f>AND(#REF!,"AAAAAH9r9us=")</f>
        <v>#REF!</v>
      </c>
      <c r="IC20" t="e">
        <f>AND(#REF!,"AAAAAH9r9uw=")</f>
        <v>#REF!</v>
      </c>
      <c r="ID20" t="e">
        <f>AND(#REF!,"AAAAAH9r9u0=")</f>
        <v>#REF!</v>
      </c>
      <c r="IE20" t="e">
        <f>AND(#REF!,"AAAAAH9r9u4=")</f>
        <v>#REF!</v>
      </c>
      <c r="IF20" t="e">
        <f>AND(#REF!,"AAAAAH9r9u8=")</f>
        <v>#REF!</v>
      </c>
      <c r="IG20" t="e">
        <f>AND(#REF!,"AAAAAH9r9vA=")</f>
        <v>#REF!</v>
      </c>
      <c r="IH20" t="e">
        <f>AND(#REF!,"AAAAAH9r9vE=")</f>
        <v>#REF!</v>
      </c>
      <c r="II20" t="e">
        <f>IF(#REF!,"AAAAAH9r9vI=",0)</f>
        <v>#REF!</v>
      </c>
      <c r="IJ20" t="e">
        <f>AND(#REF!,"AAAAAH9r9vM=")</f>
        <v>#REF!</v>
      </c>
      <c r="IK20" t="e">
        <f>AND(#REF!,"AAAAAH9r9vQ=")</f>
        <v>#REF!</v>
      </c>
      <c r="IL20" t="e">
        <f>AND(#REF!,"AAAAAH9r9vU=")</f>
        <v>#REF!</v>
      </c>
      <c r="IM20" t="e">
        <f>AND(#REF!,"AAAAAH9r9vY=")</f>
        <v>#REF!</v>
      </c>
      <c r="IN20" t="e">
        <f>AND(#REF!,"AAAAAH9r9vc=")</f>
        <v>#REF!</v>
      </c>
      <c r="IO20" t="e">
        <f>AND(#REF!,"AAAAAH9r9vg=")</f>
        <v>#REF!</v>
      </c>
      <c r="IP20" t="e">
        <f>AND(#REF!,"AAAAAH9r9vk=")</f>
        <v>#REF!</v>
      </c>
      <c r="IQ20" t="e">
        <f>AND(#REF!,"AAAAAH9r9vo=")</f>
        <v>#REF!</v>
      </c>
      <c r="IR20" t="e">
        <f>AND(#REF!,"AAAAAH9r9vs=")</f>
        <v>#REF!</v>
      </c>
      <c r="IS20" t="e">
        <f>AND(#REF!,"AAAAAH9r9vw=")</f>
        <v>#REF!</v>
      </c>
      <c r="IT20" t="e">
        <f>AND(#REF!,"AAAAAH9r9v0=")</f>
        <v>#REF!</v>
      </c>
      <c r="IU20" t="e">
        <f>AND(#REF!,"AAAAAH9r9v4=")</f>
        <v>#REF!</v>
      </c>
      <c r="IV20" t="e">
        <f>AND(#REF!,"AAAAAH9r9v8=")</f>
        <v>#REF!</v>
      </c>
    </row>
    <row r="21" spans="1:256" x14ac:dyDescent="0.25">
      <c r="A21" t="e">
        <f>AND(#REF!,"AAAAAClx/wA=")</f>
        <v>#REF!</v>
      </c>
      <c r="B21" t="e">
        <f>IF(#REF!,"AAAAAClx/wE=",0)</f>
        <v>#REF!</v>
      </c>
      <c r="C21" t="e">
        <f>AND(#REF!,"AAAAAClx/wI=")</f>
        <v>#REF!</v>
      </c>
      <c r="D21" t="e">
        <f>AND(#REF!,"AAAAAClx/wM=")</f>
        <v>#REF!</v>
      </c>
      <c r="E21" t="e">
        <f>AND(#REF!,"AAAAAClx/wQ=")</f>
        <v>#REF!</v>
      </c>
      <c r="F21" t="e">
        <f>AND(#REF!,"AAAAAClx/wU=")</f>
        <v>#REF!</v>
      </c>
      <c r="G21" t="e">
        <f>AND(#REF!,"AAAAAClx/wY=")</f>
        <v>#REF!</v>
      </c>
      <c r="H21" t="e">
        <f>AND(#REF!,"AAAAAClx/wc=")</f>
        <v>#REF!</v>
      </c>
      <c r="I21" t="e">
        <f>AND(#REF!,"AAAAAClx/wg=")</f>
        <v>#REF!</v>
      </c>
      <c r="J21" t="e">
        <f>AND(#REF!,"AAAAAClx/wk=")</f>
        <v>#REF!</v>
      </c>
      <c r="K21" t="e">
        <f>AND(#REF!,"AAAAAClx/wo=")</f>
        <v>#REF!</v>
      </c>
      <c r="L21" t="e">
        <f>AND(#REF!,"AAAAAClx/ws=")</f>
        <v>#REF!</v>
      </c>
      <c r="M21" t="e">
        <f>AND(#REF!,"AAAAAClx/ww=")</f>
        <v>#REF!</v>
      </c>
      <c r="N21" t="e">
        <f>AND(#REF!,"AAAAAClx/w0=")</f>
        <v>#REF!</v>
      </c>
      <c r="O21" t="e">
        <f>AND(#REF!,"AAAAAClx/w4=")</f>
        <v>#REF!</v>
      </c>
      <c r="P21" t="e">
        <f>AND(#REF!,"AAAAAClx/w8=")</f>
        <v>#REF!</v>
      </c>
      <c r="Q21" t="e">
        <f>IF(#REF!,"AAAAAClx/xA=",0)</f>
        <v>#REF!</v>
      </c>
      <c r="R21" t="e">
        <f>AND(#REF!,"AAAAAClx/xE=")</f>
        <v>#REF!</v>
      </c>
      <c r="S21" t="e">
        <f>AND(#REF!,"AAAAAClx/xI=")</f>
        <v>#REF!</v>
      </c>
      <c r="T21" t="e">
        <f>AND(#REF!,"AAAAAClx/xM=")</f>
        <v>#REF!</v>
      </c>
      <c r="U21" t="e">
        <f>AND(#REF!,"AAAAAClx/xQ=")</f>
        <v>#REF!</v>
      </c>
      <c r="V21" t="e">
        <f>AND(#REF!,"AAAAAClx/xU=")</f>
        <v>#REF!</v>
      </c>
      <c r="W21" t="e">
        <f>AND(#REF!,"AAAAAClx/xY=")</f>
        <v>#REF!</v>
      </c>
      <c r="X21" t="e">
        <f>AND(#REF!,"AAAAAClx/xc=")</f>
        <v>#REF!</v>
      </c>
      <c r="Y21" t="e">
        <f>AND(#REF!,"AAAAAClx/xg=")</f>
        <v>#REF!</v>
      </c>
      <c r="Z21" t="e">
        <f>AND(#REF!,"AAAAAClx/xk=")</f>
        <v>#REF!</v>
      </c>
      <c r="AA21" t="e">
        <f>AND(#REF!,"AAAAAClx/xo=")</f>
        <v>#REF!</v>
      </c>
      <c r="AB21" t="e">
        <f>AND(#REF!,"AAAAAClx/xs=")</f>
        <v>#REF!</v>
      </c>
      <c r="AC21" t="e">
        <f>AND(#REF!,"AAAAAClx/xw=")</f>
        <v>#REF!</v>
      </c>
      <c r="AD21" t="e">
        <f>AND(#REF!,"AAAAAClx/x0=")</f>
        <v>#REF!</v>
      </c>
      <c r="AE21" t="e">
        <f>AND(#REF!,"AAAAAClx/x4=")</f>
        <v>#REF!</v>
      </c>
      <c r="AF21" t="e">
        <f>IF(#REF!,"AAAAAClx/x8=",0)</f>
        <v>#REF!</v>
      </c>
      <c r="AG21" t="e">
        <f>AND(#REF!,"AAAAAClx/yA=")</f>
        <v>#REF!</v>
      </c>
      <c r="AH21" t="e">
        <f>AND(#REF!,"AAAAAClx/yE=")</f>
        <v>#REF!</v>
      </c>
      <c r="AI21" t="e">
        <f>AND(#REF!,"AAAAAClx/yI=")</f>
        <v>#REF!</v>
      </c>
      <c r="AJ21" t="e">
        <f>AND(#REF!,"AAAAAClx/yM=")</f>
        <v>#REF!</v>
      </c>
      <c r="AK21" t="e">
        <f>AND(#REF!,"AAAAAClx/yQ=")</f>
        <v>#REF!</v>
      </c>
      <c r="AL21" t="e">
        <f>AND(#REF!,"AAAAAClx/yU=")</f>
        <v>#REF!</v>
      </c>
      <c r="AM21" t="e">
        <f>AND(#REF!,"AAAAAClx/yY=")</f>
        <v>#REF!</v>
      </c>
      <c r="AN21" t="e">
        <f>AND(#REF!,"AAAAAClx/yc=")</f>
        <v>#REF!</v>
      </c>
      <c r="AO21" t="e">
        <f>AND(#REF!,"AAAAAClx/yg=")</f>
        <v>#REF!</v>
      </c>
      <c r="AP21" t="e">
        <f>AND(#REF!,"AAAAAClx/yk=")</f>
        <v>#REF!</v>
      </c>
      <c r="AQ21" t="e">
        <f>AND(#REF!,"AAAAAClx/yo=")</f>
        <v>#REF!</v>
      </c>
      <c r="AR21" t="e">
        <f>AND(#REF!,"AAAAAClx/ys=")</f>
        <v>#REF!</v>
      </c>
      <c r="AS21" t="e">
        <f>AND(#REF!,"AAAAAClx/yw=")</f>
        <v>#REF!</v>
      </c>
      <c r="AT21" t="e">
        <f>AND(#REF!,"AAAAAClx/y0=")</f>
        <v>#REF!</v>
      </c>
      <c r="AU21" t="e">
        <f>IF(#REF!,"AAAAAClx/y4=",0)</f>
        <v>#REF!</v>
      </c>
      <c r="AV21" t="e">
        <f>AND(#REF!,"AAAAAClx/y8=")</f>
        <v>#REF!</v>
      </c>
      <c r="AW21" t="e">
        <f>AND(#REF!,"AAAAAClx/zA=")</f>
        <v>#REF!</v>
      </c>
      <c r="AX21" t="e">
        <f>AND(#REF!,"AAAAAClx/zE=")</f>
        <v>#REF!</v>
      </c>
      <c r="AY21" t="e">
        <f>AND(#REF!,"AAAAAClx/zI=")</f>
        <v>#REF!</v>
      </c>
      <c r="AZ21" t="e">
        <f>AND(#REF!,"AAAAAClx/zM=")</f>
        <v>#REF!</v>
      </c>
      <c r="BA21" t="e">
        <f>AND(#REF!,"AAAAAClx/zQ=")</f>
        <v>#REF!</v>
      </c>
      <c r="BB21" t="e">
        <f>AND(#REF!,"AAAAAClx/zU=")</f>
        <v>#REF!</v>
      </c>
      <c r="BC21" t="e">
        <f>AND(#REF!,"AAAAAClx/zY=")</f>
        <v>#REF!</v>
      </c>
      <c r="BD21" t="e">
        <f>AND(#REF!,"AAAAAClx/zc=")</f>
        <v>#REF!</v>
      </c>
      <c r="BE21" t="e">
        <f>AND(#REF!,"AAAAAClx/zg=")</f>
        <v>#REF!</v>
      </c>
      <c r="BF21" t="e">
        <f>AND(#REF!,"AAAAAClx/zk=")</f>
        <v>#REF!</v>
      </c>
      <c r="BG21" t="e">
        <f>AND(#REF!,"AAAAAClx/zo=")</f>
        <v>#REF!</v>
      </c>
      <c r="BH21" t="e">
        <f>AND(#REF!,"AAAAAClx/zs=")</f>
        <v>#REF!</v>
      </c>
      <c r="BI21" t="e">
        <f>AND(#REF!,"AAAAAClx/zw=")</f>
        <v>#REF!</v>
      </c>
      <c r="BJ21" t="e">
        <f>IF(#REF!,"AAAAAClx/z0=",0)</f>
        <v>#REF!</v>
      </c>
      <c r="BK21" t="e">
        <f>AND(#REF!,"AAAAAClx/z4=")</f>
        <v>#REF!</v>
      </c>
      <c r="BL21" t="e">
        <f>AND(#REF!,"AAAAAClx/z8=")</f>
        <v>#REF!</v>
      </c>
      <c r="BM21" t="e">
        <f>AND(#REF!,"AAAAAClx/0A=")</f>
        <v>#REF!</v>
      </c>
      <c r="BN21" t="e">
        <f>AND(#REF!,"AAAAAClx/0E=")</f>
        <v>#REF!</v>
      </c>
      <c r="BO21" t="e">
        <f>AND(#REF!,"AAAAAClx/0I=")</f>
        <v>#REF!</v>
      </c>
      <c r="BP21" t="e">
        <f>AND(#REF!,"AAAAAClx/0M=")</f>
        <v>#REF!</v>
      </c>
      <c r="BQ21" t="e">
        <f>AND(#REF!,"AAAAAClx/0Q=")</f>
        <v>#REF!</v>
      </c>
      <c r="BR21" t="e">
        <f>AND(#REF!,"AAAAAClx/0U=")</f>
        <v>#REF!</v>
      </c>
      <c r="BS21" t="e">
        <f>AND(#REF!,"AAAAAClx/0Y=")</f>
        <v>#REF!</v>
      </c>
      <c r="BT21" t="e">
        <f>AND(#REF!,"AAAAAClx/0c=")</f>
        <v>#REF!</v>
      </c>
      <c r="BU21" t="e">
        <f>AND(#REF!,"AAAAAClx/0g=")</f>
        <v>#REF!</v>
      </c>
      <c r="BV21" t="e">
        <f>AND(#REF!,"AAAAAClx/0k=")</f>
        <v>#REF!</v>
      </c>
      <c r="BW21" t="e">
        <f>AND(#REF!,"AAAAAClx/0o=")</f>
        <v>#REF!</v>
      </c>
      <c r="BX21" t="e">
        <f>AND(#REF!,"AAAAAClx/0s=")</f>
        <v>#REF!</v>
      </c>
      <c r="BY21" t="e">
        <f>IF(#REF!,"AAAAAClx/0w=",0)</f>
        <v>#REF!</v>
      </c>
      <c r="BZ21" t="e">
        <f>AND(#REF!,"AAAAAClx/00=")</f>
        <v>#REF!</v>
      </c>
      <c r="CA21" t="e">
        <f>AND(#REF!,"AAAAAClx/04=")</f>
        <v>#REF!</v>
      </c>
      <c r="CB21" t="e">
        <f>AND(#REF!,"AAAAAClx/08=")</f>
        <v>#REF!</v>
      </c>
      <c r="CC21" t="e">
        <f>AND(#REF!,"AAAAAClx/1A=")</f>
        <v>#REF!</v>
      </c>
      <c r="CD21" t="e">
        <f>AND(#REF!,"AAAAAClx/1E=")</f>
        <v>#REF!</v>
      </c>
      <c r="CE21" t="e">
        <f>AND(#REF!,"AAAAAClx/1I=")</f>
        <v>#REF!</v>
      </c>
      <c r="CF21" t="e">
        <f>AND(#REF!,"AAAAAClx/1M=")</f>
        <v>#REF!</v>
      </c>
      <c r="CG21" t="e">
        <f>AND(#REF!,"AAAAAClx/1Q=")</f>
        <v>#REF!</v>
      </c>
      <c r="CH21" t="e">
        <f>AND(#REF!,"AAAAAClx/1U=")</f>
        <v>#REF!</v>
      </c>
      <c r="CI21" t="e">
        <f>AND(#REF!,"AAAAAClx/1Y=")</f>
        <v>#REF!</v>
      </c>
      <c r="CJ21" t="e">
        <f>AND(#REF!,"AAAAAClx/1c=")</f>
        <v>#REF!</v>
      </c>
      <c r="CK21" t="e">
        <f>AND(#REF!,"AAAAAClx/1g=")</f>
        <v>#REF!</v>
      </c>
      <c r="CL21" t="e">
        <f>AND(#REF!,"AAAAAClx/1k=")</f>
        <v>#REF!</v>
      </c>
      <c r="CM21" t="e">
        <f>AND(#REF!,"AAAAAClx/1o=")</f>
        <v>#REF!</v>
      </c>
      <c r="CN21" t="e">
        <f>IF(#REF!,"AAAAAClx/1s=",0)</f>
        <v>#REF!</v>
      </c>
      <c r="CO21" t="e">
        <f>AND(#REF!,"AAAAAClx/1w=")</f>
        <v>#REF!</v>
      </c>
      <c r="CP21" t="e">
        <f>AND(#REF!,"AAAAAClx/10=")</f>
        <v>#REF!</v>
      </c>
      <c r="CQ21" t="e">
        <f>AND(#REF!,"AAAAAClx/14=")</f>
        <v>#REF!</v>
      </c>
      <c r="CR21" t="e">
        <f>AND(#REF!,"AAAAAClx/18=")</f>
        <v>#REF!</v>
      </c>
      <c r="CS21" t="e">
        <f>AND(#REF!,"AAAAAClx/2A=")</f>
        <v>#REF!</v>
      </c>
      <c r="CT21" t="e">
        <f>AND(#REF!,"AAAAAClx/2E=")</f>
        <v>#REF!</v>
      </c>
      <c r="CU21" t="e">
        <f>AND(#REF!,"AAAAAClx/2I=")</f>
        <v>#REF!</v>
      </c>
      <c r="CV21" t="e">
        <f>AND(#REF!,"AAAAAClx/2M=")</f>
        <v>#REF!</v>
      </c>
      <c r="CW21" t="e">
        <f>AND(#REF!,"AAAAAClx/2Q=")</f>
        <v>#REF!</v>
      </c>
      <c r="CX21" t="e">
        <f>AND(#REF!,"AAAAAClx/2U=")</f>
        <v>#REF!</v>
      </c>
      <c r="CY21" t="e">
        <f>AND(#REF!,"AAAAAClx/2Y=")</f>
        <v>#REF!</v>
      </c>
      <c r="CZ21" t="e">
        <f>AND(#REF!,"AAAAAClx/2c=")</f>
        <v>#REF!</v>
      </c>
      <c r="DA21" t="e">
        <f>AND(#REF!,"AAAAAClx/2g=")</f>
        <v>#REF!</v>
      </c>
      <c r="DB21" t="e">
        <f>AND(#REF!,"AAAAAClx/2k=")</f>
        <v>#REF!</v>
      </c>
      <c r="DC21" t="e">
        <f>IF(#REF!,"AAAAAClx/2o=",0)</f>
        <v>#REF!</v>
      </c>
      <c r="DD21" t="e">
        <f>AND(#REF!,"AAAAAClx/2s=")</f>
        <v>#REF!</v>
      </c>
      <c r="DE21" t="e">
        <f>AND(#REF!,"AAAAAClx/2w=")</f>
        <v>#REF!</v>
      </c>
      <c r="DF21" t="e">
        <f>AND(#REF!,"AAAAAClx/20=")</f>
        <v>#REF!</v>
      </c>
      <c r="DG21" t="e">
        <f>AND(#REF!,"AAAAAClx/24=")</f>
        <v>#REF!</v>
      </c>
      <c r="DH21" t="e">
        <f>AND(#REF!,"AAAAAClx/28=")</f>
        <v>#REF!</v>
      </c>
      <c r="DI21" t="e">
        <f>AND(#REF!,"AAAAAClx/3A=")</f>
        <v>#REF!</v>
      </c>
      <c r="DJ21" t="e">
        <f>AND(#REF!,"AAAAAClx/3E=")</f>
        <v>#REF!</v>
      </c>
      <c r="DK21" t="e">
        <f>AND(#REF!,"AAAAAClx/3I=")</f>
        <v>#REF!</v>
      </c>
      <c r="DL21" t="e">
        <f>AND(#REF!,"AAAAAClx/3M=")</f>
        <v>#REF!</v>
      </c>
      <c r="DM21" t="e">
        <f>AND(#REF!,"AAAAAClx/3Q=")</f>
        <v>#REF!</v>
      </c>
      <c r="DN21" t="e">
        <f>AND(#REF!,"AAAAAClx/3U=")</f>
        <v>#REF!</v>
      </c>
      <c r="DO21" t="e">
        <f>AND(#REF!,"AAAAAClx/3Y=")</f>
        <v>#REF!</v>
      </c>
      <c r="DP21" t="e">
        <f>AND(#REF!,"AAAAAClx/3c=")</f>
        <v>#REF!</v>
      </c>
      <c r="DQ21" t="e">
        <f>AND(#REF!,"AAAAAClx/3g=")</f>
        <v>#REF!</v>
      </c>
      <c r="DR21" t="e">
        <f>IF(#REF!,"AAAAAClx/3k=",0)</f>
        <v>#REF!</v>
      </c>
      <c r="DS21" t="e">
        <f>AND(#REF!,"AAAAAClx/3o=")</f>
        <v>#REF!</v>
      </c>
      <c r="DT21" t="e">
        <f>AND(#REF!,"AAAAAClx/3s=")</f>
        <v>#REF!</v>
      </c>
      <c r="DU21" t="e">
        <f>AND(#REF!,"AAAAAClx/3w=")</f>
        <v>#REF!</v>
      </c>
      <c r="DV21" t="e">
        <f>AND(#REF!,"AAAAAClx/30=")</f>
        <v>#REF!</v>
      </c>
      <c r="DW21" t="e">
        <f>AND(#REF!,"AAAAAClx/34=")</f>
        <v>#REF!</v>
      </c>
      <c r="DX21" t="e">
        <f>AND(#REF!,"AAAAAClx/38=")</f>
        <v>#REF!</v>
      </c>
      <c r="DY21" t="e">
        <f>AND(#REF!,"AAAAAClx/4A=")</f>
        <v>#REF!</v>
      </c>
      <c r="DZ21" t="e">
        <f>AND(#REF!,"AAAAAClx/4E=")</f>
        <v>#REF!</v>
      </c>
      <c r="EA21" t="e">
        <f>AND(#REF!,"AAAAAClx/4I=")</f>
        <v>#REF!</v>
      </c>
      <c r="EB21" t="e">
        <f>AND(#REF!,"AAAAAClx/4M=")</f>
        <v>#REF!</v>
      </c>
      <c r="EC21" t="e">
        <f>AND(#REF!,"AAAAAClx/4Q=")</f>
        <v>#REF!</v>
      </c>
      <c r="ED21" t="e">
        <f>AND(#REF!,"AAAAAClx/4U=")</f>
        <v>#REF!</v>
      </c>
      <c r="EE21" t="e">
        <f>AND(#REF!,"AAAAAClx/4Y=")</f>
        <v>#REF!</v>
      </c>
      <c r="EF21" t="e">
        <f>AND(#REF!,"AAAAAClx/4c=")</f>
        <v>#REF!</v>
      </c>
      <c r="EG21" t="e">
        <f>IF(#REF!,"AAAAAClx/4g=",0)</f>
        <v>#REF!</v>
      </c>
      <c r="EH21" t="e">
        <f>AND(#REF!,"AAAAAClx/4k=")</f>
        <v>#REF!</v>
      </c>
      <c r="EI21" t="e">
        <f>AND(#REF!,"AAAAAClx/4o=")</f>
        <v>#REF!</v>
      </c>
      <c r="EJ21" t="e">
        <f>AND(#REF!,"AAAAAClx/4s=")</f>
        <v>#REF!</v>
      </c>
      <c r="EK21" t="e">
        <f>AND(#REF!,"AAAAAClx/4w=")</f>
        <v>#REF!</v>
      </c>
      <c r="EL21" t="e">
        <f>AND(#REF!,"AAAAAClx/40=")</f>
        <v>#REF!</v>
      </c>
      <c r="EM21" t="e">
        <f>AND(#REF!,"AAAAAClx/44=")</f>
        <v>#REF!</v>
      </c>
      <c r="EN21" t="e">
        <f>AND(#REF!,"AAAAAClx/48=")</f>
        <v>#REF!</v>
      </c>
      <c r="EO21" t="e">
        <f>AND(#REF!,"AAAAAClx/5A=")</f>
        <v>#REF!</v>
      </c>
      <c r="EP21" t="e">
        <f>AND(#REF!,"AAAAAClx/5E=")</f>
        <v>#REF!</v>
      </c>
      <c r="EQ21" t="e">
        <f>AND(#REF!,"AAAAAClx/5I=")</f>
        <v>#REF!</v>
      </c>
      <c r="ER21" t="e">
        <f>AND(#REF!,"AAAAAClx/5M=")</f>
        <v>#REF!</v>
      </c>
      <c r="ES21" t="e">
        <f>AND(#REF!,"AAAAAClx/5Q=")</f>
        <v>#REF!</v>
      </c>
      <c r="ET21" t="e">
        <f>AND(#REF!,"AAAAAClx/5U=")</f>
        <v>#REF!</v>
      </c>
      <c r="EU21" t="e">
        <f>AND(#REF!,"AAAAAClx/5Y=")</f>
        <v>#REF!</v>
      </c>
      <c r="EV21" t="e">
        <f>IF(#REF!,"AAAAAClx/5c=",0)</f>
        <v>#REF!</v>
      </c>
      <c r="EW21" t="e">
        <f>AND(#REF!,"AAAAAClx/5g=")</f>
        <v>#REF!</v>
      </c>
      <c r="EX21" t="e">
        <f>AND(#REF!,"AAAAAClx/5k=")</f>
        <v>#REF!</v>
      </c>
      <c r="EY21" t="e">
        <f>AND(#REF!,"AAAAAClx/5o=")</f>
        <v>#REF!</v>
      </c>
      <c r="EZ21" t="e">
        <f>AND(#REF!,"AAAAAClx/5s=")</f>
        <v>#REF!</v>
      </c>
      <c r="FA21" t="e">
        <f>AND(#REF!,"AAAAAClx/5w=")</f>
        <v>#REF!</v>
      </c>
      <c r="FB21" t="e">
        <f>AND(#REF!,"AAAAAClx/50=")</f>
        <v>#REF!</v>
      </c>
      <c r="FC21" t="e">
        <f>AND(#REF!,"AAAAAClx/54=")</f>
        <v>#REF!</v>
      </c>
      <c r="FD21" t="e">
        <f>AND(#REF!,"AAAAAClx/58=")</f>
        <v>#REF!</v>
      </c>
      <c r="FE21" t="e">
        <f>AND(#REF!,"AAAAAClx/6A=")</f>
        <v>#REF!</v>
      </c>
      <c r="FF21" t="e">
        <f>AND(#REF!,"AAAAAClx/6E=")</f>
        <v>#REF!</v>
      </c>
      <c r="FG21" t="e">
        <f>AND(#REF!,"AAAAAClx/6I=")</f>
        <v>#REF!</v>
      </c>
      <c r="FH21" t="e">
        <f>AND(#REF!,"AAAAAClx/6M=")</f>
        <v>#REF!</v>
      </c>
      <c r="FI21" t="e">
        <f>AND(#REF!,"AAAAAClx/6Q=")</f>
        <v>#REF!</v>
      </c>
      <c r="FJ21" t="e">
        <f>AND(#REF!,"AAAAAClx/6U=")</f>
        <v>#REF!</v>
      </c>
      <c r="FK21" t="e">
        <f>IF(#REF!,"AAAAAClx/6Y=",0)</f>
        <v>#REF!</v>
      </c>
      <c r="FL21" t="e">
        <f>AND(#REF!,"AAAAAClx/6c=")</f>
        <v>#REF!</v>
      </c>
      <c r="FM21" t="e">
        <f>AND(#REF!,"AAAAAClx/6g=")</f>
        <v>#REF!</v>
      </c>
      <c r="FN21" t="e">
        <f>AND(#REF!,"AAAAAClx/6k=")</f>
        <v>#REF!</v>
      </c>
      <c r="FO21" t="e">
        <f>AND(#REF!,"AAAAAClx/6o=")</f>
        <v>#REF!</v>
      </c>
      <c r="FP21" t="e">
        <f>AND(#REF!,"AAAAAClx/6s=")</f>
        <v>#REF!</v>
      </c>
      <c r="FQ21" t="e">
        <f>AND(#REF!,"AAAAAClx/6w=")</f>
        <v>#REF!</v>
      </c>
      <c r="FR21" t="e">
        <f>AND(#REF!,"AAAAAClx/60=")</f>
        <v>#REF!</v>
      </c>
      <c r="FS21" t="e">
        <f>AND(#REF!,"AAAAAClx/64=")</f>
        <v>#REF!</v>
      </c>
      <c r="FT21" t="e">
        <f>AND(#REF!,"AAAAAClx/68=")</f>
        <v>#REF!</v>
      </c>
      <c r="FU21" t="e">
        <f>AND(#REF!,"AAAAAClx/7A=")</f>
        <v>#REF!</v>
      </c>
      <c r="FV21" t="e">
        <f>AND(#REF!,"AAAAAClx/7E=")</f>
        <v>#REF!</v>
      </c>
      <c r="FW21" t="e">
        <f>AND(#REF!,"AAAAAClx/7I=")</f>
        <v>#REF!</v>
      </c>
      <c r="FX21" t="e">
        <f>AND(#REF!,"AAAAAClx/7M=")</f>
        <v>#REF!</v>
      </c>
      <c r="FY21" t="e">
        <f>AND(#REF!,"AAAAAClx/7Q=")</f>
        <v>#REF!</v>
      </c>
      <c r="FZ21" t="e">
        <f>IF(#REF!,"AAAAAClx/7U=",0)</f>
        <v>#REF!</v>
      </c>
      <c r="GA21" t="e">
        <f>AND(#REF!,"AAAAAClx/7Y=")</f>
        <v>#REF!</v>
      </c>
      <c r="GB21" t="e">
        <f>AND(#REF!,"AAAAAClx/7c=")</f>
        <v>#REF!</v>
      </c>
      <c r="GC21" t="e">
        <f>AND(#REF!,"AAAAAClx/7g=")</f>
        <v>#REF!</v>
      </c>
      <c r="GD21" t="e">
        <f>AND(#REF!,"AAAAAClx/7k=")</f>
        <v>#REF!</v>
      </c>
      <c r="GE21" t="e">
        <f>AND(#REF!,"AAAAAClx/7o=")</f>
        <v>#REF!</v>
      </c>
      <c r="GF21" t="e">
        <f>AND(#REF!,"AAAAAClx/7s=")</f>
        <v>#REF!</v>
      </c>
      <c r="GG21" t="e">
        <f>AND(#REF!,"AAAAAClx/7w=")</f>
        <v>#REF!</v>
      </c>
      <c r="GH21" t="e">
        <f>AND(#REF!,"AAAAAClx/70=")</f>
        <v>#REF!</v>
      </c>
      <c r="GI21" t="e">
        <f>AND(#REF!,"AAAAAClx/74=")</f>
        <v>#REF!</v>
      </c>
      <c r="GJ21" t="e">
        <f>AND(#REF!,"AAAAAClx/78=")</f>
        <v>#REF!</v>
      </c>
      <c r="GK21" t="e">
        <f>AND(#REF!,"AAAAAClx/8A=")</f>
        <v>#REF!</v>
      </c>
      <c r="GL21" t="e">
        <f>AND(#REF!,"AAAAAClx/8E=")</f>
        <v>#REF!</v>
      </c>
      <c r="GM21" t="e">
        <f>AND(#REF!,"AAAAAClx/8I=")</f>
        <v>#REF!</v>
      </c>
      <c r="GN21" t="e">
        <f>AND(#REF!,"AAAAAClx/8M=")</f>
        <v>#REF!</v>
      </c>
      <c r="GO21" t="e">
        <f>IF(#REF!,"AAAAAClx/8Q=",0)</f>
        <v>#REF!</v>
      </c>
      <c r="GP21" t="e">
        <f>AND(#REF!,"AAAAAClx/8U=")</f>
        <v>#REF!</v>
      </c>
      <c r="GQ21" t="e">
        <f>AND(#REF!,"AAAAAClx/8Y=")</f>
        <v>#REF!</v>
      </c>
      <c r="GR21" t="e">
        <f>AND(#REF!,"AAAAAClx/8c=")</f>
        <v>#REF!</v>
      </c>
      <c r="GS21" t="e">
        <f>AND(#REF!,"AAAAAClx/8g=")</f>
        <v>#REF!</v>
      </c>
      <c r="GT21" t="e">
        <f>AND(#REF!,"AAAAAClx/8k=")</f>
        <v>#REF!</v>
      </c>
      <c r="GU21" t="e">
        <f>AND(#REF!,"AAAAAClx/8o=")</f>
        <v>#REF!</v>
      </c>
      <c r="GV21" t="e">
        <f>AND(#REF!,"AAAAAClx/8s=")</f>
        <v>#REF!</v>
      </c>
      <c r="GW21" t="e">
        <f>AND(#REF!,"AAAAAClx/8w=")</f>
        <v>#REF!</v>
      </c>
      <c r="GX21" t="e">
        <f>AND(#REF!,"AAAAAClx/80=")</f>
        <v>#REF!</v>
      </c>
      <c r="GY21" t="e">
        <f>AND(#REF!,"AAAAAClx/84=")</f>
        <v>#REF!</v>
      </c>
      <c r="GZ21" t="e">
        <f>AND(#REF!,"AAAAAClx/88=")</f>
        <v>#REF!</v>
      </c>
      <c r="HA21" t="e">
        <f>AND(#REF!,"AAAAAClx/9A=")</f>
        <v>#REF!</v>
      </c>
      <c r="HB21" t="e">
        <f>AND(#REF!,"AAAAAClx/9E=")</f>
        <v>#REF!</v>
      </c>
      <c r="HC21" t="e">
        <f>AND(#REF!,"AAAAAClx/9I=")</f>
        <v>#REF!</v>
      </c>
      <c r="HD21" t="e">
        <f>IF(#REF!,"AAAAAClx/9M=",0)</f>
        <v>#REF!</v>
      </c>
      <c r="HE21" t="e">
        <f>AND(#REF!,"AAAAAClx/9Q=")</f>
        <v>#REF!</v>
      </c>
      <c r="HF21" t="e">
        <f>AND(#REF!,"AAAAAClx/9U=")</f>
        <v>#REF!</v>
      </c>
      <c r="HG21" t="e">
        <f>AND(#REF!,"AAAAAClx/9Y=")</f>
        <v>#REF!</v>
      </c>
      <c r="HH21" t="e">
        <f>AND(#REF!,"AAAAAClx/9c=")</f>
        <v>#REF!</v>
      </c>
      <c r="HI21" t="e">
        <f>AND(#REF!,"AAAAAClx/9g=")</f>
        <v>#REF!</v>
      </c>
      <c r="HJ21" t="e">
        <f>AND(#REF!,"AAAAAClx/9k=")</f>
        <v>#REF!</v>
      </c>
      <c r="HK21" t="e">
        <f>AND(#REF!,"AAAAAClx/9o=")</f>
        <v>#REF!</v>
      </c>
      <c r="HL21" t="e">
        <f>AND(#REF!,"AAAAAClx/9s=")</f>
        <v>#REF!</v>
      </c>
      <c r="HM21" t="e">
        <f>AND(#REF!,"AAAAAClx/9w=")</f>
        <v>#REF!</v>
      </c>
      <c r="HN21" t="e">
        <f>AND(#REF!,"AAAAAClx/90=")</f>
        <v>#REF!</v>
      </c>
      <c r="HO21" t="e">
        <f>AND(#REF!,"AAAAAClx/94=")</f>
        <v>#REF!</v>
      </c>
      <c r="HP21" t="e">
        <f>AND(#REF!,"AAAAAClx/98=")</f>
        <v>#REF!</v>
      </c>
      <c r="HQ21" t="e">
        <f>AND(#REF!,"AAAAAClx/+A=")</f>
        <v>#REF!</v>
      </c>
      <c r="HR21" t="e">
        <f>AND(#REF!,"AAAAAClx/+E=")</f>
        <v>#REF!</v>
      </c>
      <c r="HS21" t="e">
        <f>IF(#REF!,"AAAAAClx/+I=",0)</f>
        <v>#REF!</v>
      </c>
      <c r="HT21" t="e">
        <f>AND(#REF!,"AAAAAClx/+M=")</f>
        <v>#REF!</v>
      </c>
      <c r="HU21" t="e">
        <f>AND(#REF!,"AAAAAClx/+Q=")</f>
        <v>#REF!</v>
      </c>
      <c r="HV21" t="e">
        <f>AND(#REF!,"AAAAAClx/+U=")</f>
        <v>#REF!</v>
      </c>
      <c r="HW21" t="e">
        <f>AND(#REF!,"AAAAAClx/+Y=")</f>
        <v>#REF!</v>
      </c>
      <c r="HX21" t="e">
        <f>AND(#REF!,"AAAAAClx/+c=")</f>
        <v>#REF!</v>
      </c>
      <c r="HY21" t="e">
        <f>AND(#REF!,"AAAAAClx/+g=")</f>
        <v>#REF!</v>
      </c>
      <c r="HZ21" t="e">
        <f>AND(#REF!,"AAAAAClx/+k=")</f>
        <v>#REF!</v>
      </c>
      <c r="IA21" t="e">
        <f>AND(#REF!,"AAAAAClx/+o=")</f>
        <v>#REF!</v>
      </c>
      <c r="IB21" t="e">
        <f>AND(#REF!,"AAAAAClx/+s=")</f>
        <v>#REF!</v>
      </c>
      <c r="IC21" t="e">
        <f>AND(#REF!,"AAAAAClx/+w=")</f>
        <v>#REF!</v>
      </c>
      <c r="ID21" t="e">
        <f>AND(#REF!,"AAAAAClx/+0=")</f>
        <v>#REF!</v>
      </c>
      <c r="IE21" t="e">
        <f>AND(#REF!,"AAAAAClx/+4=")</f>
        <v>#REF!</v>
      </c>
      <c r="IF21" t="e">
        <f>AND(#REF!,"AAAAAClx/+8=")</f>
        <v>#REF!</v>
      </c>
      <c r="IG21" t="e">
        <f>AND(#REF!,"AAAAAClx//A=")</f>
        <v>#REF!</v>
      </c>
      <c r="IH21" t="e">
        <f>IF(#REF!,"AAAAAClx//E=",0)</f>
        <v>#REF!</v>
      </c>
      <c r="II21" t="e">
        <f>AND(#REF!,"AAAAAClx//I=")</f>
        <v>#REF!</v>
      </c>
      <c r="IJ21" t="e">
        <f>AND(#REF!,"AAAAAClx//M=")</f>
        <v>#REF!</v>
      </c>
      <c r="IK21" t="e">
        <f>AND(#REF!,"AAAAAClx//Q=")</f>
        <v>#REF!</v>
      </c>
      <c r="IL21" t="e">
        <f>AND(#REF!,"AAAAAClx//U=")</f>
        <v>#REF!</v>
      </c>
      <c r="IM21" t="e">
        <f>AND(#REF!,"AAAAAClx//Y=")</f>
        <v>#REF!</v>
      </c>
      <c r="IN21" t="e">
        <f>AND(#REF!,"AAAAAClx//c=")</f>
        <v>#REF!</v>
      </c>
      <c r="IO21" t="e">
        <f>AND(#REF!,"AAAAAClx//g=")</f>
        <v>#REF!</v>
      </c>
      <c r="IP21" t="e">
        <f>AND(#REF!,"AAAAAClx//k=")</f>
        <v>#REF!</v>
      </c>
      <c r="IQ21" t="e">
        <f>AND(#REF!,"AAAAAClx//o=")</f>
        <v>#REF!</v>
      </c>
      <c r="IR21" t="e">
        <f>AND(#REF!,"AAAAAClx//s=")</f>
        <v>#REF!</v>
      </c>
      <c r="IS21" t="e">
        <f>AND(#REF!,"AAAAAClx//w=")</f>
        <v>#REF!</v>
      </c>
      <c r="IT21" t="e">
        <f>AND(#REF!,"AAAAAClx//0=")</f>
        <v>#REF!</v>
      </c>
      <c r="IU21" t="e">
        <f>AND(#REF!,"AAAAAClx//4=")</f>
        <v>#REF!</v>
      </c>
      <c r="IV21" t="e">
        <f>AND(#REF!,"AAAAAClx//8=")</f>
        <v>#REF!</v>
      </c>
    </row>
    <row r="22" spans="1:256" x14ac:dyDescent="0.25">
      <c r="A22" t="e">
        <f>IF(#REF!,"AAAAAHzXbQA=",0)</f>
        <v>#REF!</v>
      </c>
      <c r="B22" t="e">
        <f>AND(#REF!,"AAAAAHzXbQE=")</f>
        <v>#REF!</v>
      </c>
      <c r="C22" t="e">
        <f>AND(#REF!,"AAAAAHzXbQI=")</f>
        <v>#REF!</v>
      </c>
      <c r="D22" t="e">
        <f>AND(#REF!,"AAAAAHzXbQM=")</f>
        <v>#REF!</v>
      </c>
      <c r="E22" t="e">
        <f>AND(#REF!,"AAAAAHzXbQQ=")</f>
        <v>#REF!</v>
      </c>
      <c r="F22" t="e">
        <f>AND(#REF!,"AAAAAHzXbQU=")</f>
        <v>#REF!</v>
      </c>
      <c r="G22" t="e">
        <f>AND(#REF!,"AAAAAHzXbQY=")</f>
        <v>#REF!</v>
      </c>
      <c r="H22" t="e">
        <f>AND(#REF!,"AAAAAHzXbQc=")</f>
        <v>#REF!</v>
      </c>
      <c r="I22" t="e">
        <f>AND(#REF!,"AAAAAHzXbQg=")</f>
        <v>#REF!</v>
      </c>
      <c r="J22" t="e">
        <f>AND(#REF!,"AAAAAHzXbQk=")</f>
        <v>#REF!</v>
      </c>
      <c r="K22" t="e">
        <f>AND(#REF!,"AAAAAHzXbQo=")</f>
        <v>#REF!</v>
      </c>
      <c r="L22" t="e">
        <f>AND(#REF!,"AAAAAHzXbQs=")</f>
        <v>#REF!</v>
      </c>
      <c r="M22" t="e">
        <f>AND(#REF!,"AAAAAHzXbQw=")</f>
        <v>#REF!</v>
      </c>
      <c r="N22" t="e">
        <f>AND(#REF!,"AAAAAHzXbQ0=")</f>
        <v>#REF!</v>
      </c>
      <c r="O22" t="e">
        <f>AND(#REF!,"AAAAAHzXbQ4=")</f>
        <v>#REF!</v>
      </c>
      <c r="P22" t="e">
        <f>IF(#REF!,"AAAAAHzXbQ8=",0)</f>
        <v>#REF!</v>
      </c>
      <c r="Q22" t="e">
        <f>AND(#REF!,"AAAAAHzXbRA=")</f>
        <v>#REF!</v>
      </c>
      <c r="R22" t="e">
        <f>AND(#REF!,"AAAAAHzXbRE=")</f>
        <v>#REF!</v>
      </c>
      <c r="S22" t="e">
        <f>AND(#REF!,"AAAAAHzXbRI=")</f>
        <v>#REF!</v>
      </c>
      <c r="T22" t="e">
        <f>AND(#REF!,"AAAAAHzXbRM=")</f>
        <v>#REF!</v>
      </c>
      <c r="U22" t="e">
        <f>AND(#REF!,"AAAAAHzXbRQ=")</f>
        <v>#REF!</v>
      </c>
      <c r="V22" t="e">
        <f>AND(#REF!,"AAAAAHzXbRU=")</f>
        <v>#REF!</v>
      </c>
      <c r="W22" t="e">
        <f>AND(#REF!,"AAAAAHzXbRY=")</f>
        <v>#REF!</v>
      </c>
      <c r="X22" t="e">
        <f>AND(#REF!,"AAAAAHzXbRc=")</f>
        <v>#REF!</v>
      </c>
      <c r="Y22" t="e">
        <f>AND(#REF!,"AAAAAHzXbRg=")</f>
        <v>#REF!</v>
      </c>
      <c r="Z22" t="e">
        <f>AND(#REF!,"AAAAAHzXbRk=")</f>
        <v>#REF!</v>
      </c>
      <c r="AA22" t="e">
        <f>AND(#REF!,"AAAAAHzXbRo=")</f>
        <v>#REF!</v>
      </c>
      <c r="AB22" t="e">
        <f>AND(#REF!,"AAAAAHzXbRs=")</f>
        <v>#REF!</v>
      </c>
      <c r="AC22" t="e">
        <f>AND(#REF!,"AAAAAHzXbRw=")</f>
        <v>#REF!</v>
      </c>
      <c r="AD22" t="e">
        <f>AND(#REF!,"AAAAAHzXbR0=")</f>
        <v>#REF!</v>
      </c>
      <c r="AE22" t="e">
        <f>IF(#REF!,"AAAAAHzXbR4=",0)</f>
        <v>#REF!</v>
      </c>
      <c r="AF22" t="e">
        <f>AND(#REF!,"AAAAAHzXbR8=")</f>
        <v>#REF!</v>
      </c>
      <c r="AG22" t="e">
        <f>AND(#REF!,"AAAAAHzXbSA=")</f>
        <v>#REF!</v>
      </c>
      <c r="AH22" t="e">
        <f>AND(#REF!,"AAAAAHzXbSE=")</f>
        <v>#REF!</v>
      </c>
      <c r="AI22" t="e">
        <f>AND(#REF!,"AAAAAHzXbSI=")</f>
        <v>#REF!</v>
      </c>
      <c r="AJ22" t="e">
        <f>AND(#REF!,"AAAAAHzXbSM=")</f>
        <v>#REF!</v>
      </c>
      <c r="AK22" t="e">
        <f>AND(#REF!,"AAAAAHzXbSQ=")</f>
        <v>#REF!</v>
      </c>
      <c r="AL22" t="e">
        <f>AND(#REF!,"AAAAAHzXbSU=")</f>
        <v>#REF!</v>
      </c>
      <c r="AM22" t="e">
        <f>AND(#REF!,"AAAAAHzXbSY=")</f>
        <v>#REF!</v>
      </c>
      <c r="AN22" t="e">
        <f>AND(#REF!,"AAAAAHzXbSc=")</f>
        <v>#REF!</v>
      </c>
      <c r="AO22" t="e">
        <f>AND(#REF!,"AAAAAHzXbSg=")</f>
        <v>#REF!</v>
      </c>
      <c r="AP22" t="e">
        <f>AND(#REF!,"AAAAAHzXbSk=")</f>
        <v>#REF!</v>
      </c>
      <c r="AQ22" t="e">
        <f>AND(#REF!,"AAAAAHzXbSo=")</f>
        <v>#REF!</v>
      </c>
      <c r="AR22" t="e">
        <f>AND(#REF!,"AAAAAHzXbSs=")</f>
        <v>#REF!</v>
      </c>
      <c r="AS22" t="e">
        <f>AND(#REF!,"AAAAAHzXbSw=")</f>
        <v>#REF!</v>
      </c>
      <c r="AT22" t="e">
        <f>IF(#REF!,"AAAAAHzXbS0=",0)</f>
        <v>#REF!</v>
      </c>
      <c r="AU22" t="e">
        <f>AND(#REF!,"AAAAAHzXbS4=")</f>
        <v>#REF!</v>
      </c>
      <c r="AV22" t="e">
        <f>AND(#REF!,"AAAAAHzXbS8=")</f>
        <v>#REF!</v>
      </c>
      <c r="AW22" t="e">
        <f>AND(#REF!,"AAAAAHzXbTA=")</f>
        <v>#REF!</v>
      </c>
      <c r="AX22" t="e">
        <f>AND(#REF!,"AAAAAHzXbTE=")</f>
        <v>#REF!</v>
      </c>
      <c r="AY22" t="e">
        <f>AND(#REF!,"AAAAAHzXbTI=")</f>
        <v>#REF!</v>
      </c>
      <c r="AZ22" t="e">
        <f>AND(#REF!,"AAAAAHzXbTM=")</f>
        <v>#REF!</v>
      </c>
      <c r="BA22" t="e">
        <f>AND(#REF!,"AAAAAHzXbTQ=")</f>
        <v>#REF!</v>
      </c>
      <c r="BB22" t="e">
        <f>AND(#REF!,"AAAAAHzXbTU=")</f>
        <v>#REF!</v>
      </c>
      <c r="BC22" t="e">
        <f>AND(#REF!,"AAAAAHzXbTY=")</f>
        <v>#REF!</v>
      </c>
      <c r="BD22" t="e">
        <f>AND(#REF!,"AAAAAHzXbTc=")</f>
        <v>#REF!</v>
      </c>
      <c r="BE22" t="e">
        <f>AND(#REF!,"AAAAAHzXbTg=")</f>
        <v>#REF!</v>
      </c>
      <c r="BF22" t="e">
        <f>AND(#REF!,"AAAAAHzXbTk=")</f>
        <v>#REF!</v>
      </c>
      <c r="BG22" t="e">
        <f>AND(#REF!,"AAAAAHzXbTo=")</f>
        <v>#REF!</v>
      </c>
      <c r="BH22" t="e">
        <f>AND(#REF!,"AAAAAHzXbTs=")</f>
        <v>#REF!</v>
      </c>
      <c r="BI22" t="e">
        <f>IF(#REF!,"AAAAAHzXbTw=",0)</f>
        <v>#REF!</v>
      </c>
      <c r="BJ22" t="e">
        <f>AND(#REF!,"AAAAAHzXbT0=")</f>
        <v>#REF!</v>
      </c>
      <c r="BK22" t="e">
        <f>AND(#REF!,"AAAAAHzXbT4=")</f>
        <v>#REF!</v>
      </c>
      <c r="BL22" t="e">
        <f>AND(#REF!,"AAAAAHzXbT8=")</f>
        <v>#REF!</v>
      </c>
      <c r="BM22" t="e">
        <f>AND(#REF!,"AAAAAHzXbUA=")</f>
        <v>#REF!</v>
      </c>
      <c r="BN22" t="e">
        <f>AND(#REF!,"AAAAAHzXbUE=")</f>
        <v>#REF!</v>
      </c>
      <c r="BO22" t="e">
        <f>AND(#REF!,"AAAAAHzXbUI=")</f>
        <v>#REF!</v>
      </c>
      <c r="BP22" t="e">
        <f>AND(#REF!,"AAAAAHzXbUM=")</f>
        <v>#REF!</v>
      </c>
      <c r="BQ22" t="e">
        <f>AND(#REF!,"AAAAAHzXbUQ=")</f>
        <v>#REF!</v>
      </c>
      <c r="BR22" t="e">
        <f>AND(#REF!,"AAAAAHzXbUU=")</f>
        <v>#REF!</v>
      </c>
      <c r="BS22" t="e">
        <f>AND(#REF!,"AAAAAHzXbUY=")</f>
        <v>#REF!</v>
      </c>
      <c r="BT22" t="e">
        <f>AND(#REF!,"AAAAAHzXbUc=")</f>
        <v>#REF!</v>
      </c>
      <c r="BU22" t="e">
        <f>AND(#REF!,"AAAAAHzXbUg=")</f>
        <v>#REF!</v>
      </c>
      <c r="BV22" t="e">
        <f>AND(#REF!,"AAAAAHzXbUk=")</f>
        <v>#REF!</v>
      </c>
      <c r="BW22" t="e">
        <f>AND(#REF!,"AAAAAHzXbUo=")</f>
        <v>#REF!</v>
      </c>
      <c r="BX22" t="e">
        <f>IF(#REF!,"AAAAAHzXbUs=",0)</f>
        <v>#REF!</v>
      </c>
      <c r="BY22" t="e">
        <f>AND(#REF!,"AAAAAHzXbUw=")</f>
        <v>#REF!</v>
      </c>
      <c r="BZ22" t="e">
        <f>AND(#REF!,"AAAAAHzXbU0=")</f>
        <v>#REF!</v>
      </c>
      <c r="CA22" t="e">
        <f>AND(#REF!,"AAAAAHzXbU4=")</f>
        <v>#REF!</v>
      </c>
      <c r="CB22" t="e">
        <f>AND(#REF!,"AAAAAHzXbU8=")</f>
        <v>#REF!</v>
      </c>
      <c r="CC22" t="e">
        <f>AND(#REF!,"AAAAAHzXbVA=")</f>
        <v>#REF!</v>
      </c>
      <c r="CD22" t="e">
        <f>AND(#REF!,"AAAAAHzXbVE=")</f>
        <v>#REF!</v>
      </c>
      <c r="CE22" t="e">
        <f>AND(#REF!,"AAAAAHzXbVI=")</f>
        <v>#REF!</v>
      </c>
      <c r="CF22" t="e">
        <f>AND(#REF!,"AAAAAHzXbVM=")</f>
        <v>#REF!</v>
      </c>
      <c r="CG22" t="e">
        <f>AND(#REF!,"AAAAAHzXbVQ=")</f>
        <v>#REF!</v>
      </c>
      <c r="CH22" t="e">
        <f>AND(#REF!,"AAAAAHzXbVU=")</f>
        <v>#REF!</v>
      </c>
      <c r="CI22" t="e">
        <f>AND(#REF!,"AAAAAHzXbVY=")</f>
        <v>#REF!</v>
      </c>
      <c r="CJ22" t="e">
        <f>AND(#REF!,"AAAAAHzXbVc=")</f>
        <v>#REF!</v>
      </c>
      <c r="CK22" t="e">
        <f>AND(#REF!,"AAAAAHzXbVg=")</f>
        <v>#REF!</v>
      </c>
      <c r="CL22" t="e">
        <f>AND(#REF!,"AAAAAHzXbVk=")</f>
        <v>#REF!</v>
      </c>
      <c r="CM22" t="e">
        <f>IF(#REF!,"AAAAAHzXbVo=",0)</f>
        <v>#REF!</v>
      </c>
      <c r="CN22" t="e">
        <f>AND(#REF!,"AAAAAHzXbVs=")</f>
        <v>#REF!</v>
      </c>
      <c r="CO22" t="e">
        <f>AND(#REF!,"AAAAAHzXbVw=")</f>
        <v>#REF!</v>
      </c>
      <c r="CP22" t="e">
        <f>AND(#REF!,"AAAAAHzXbV0=")</f>
        <v>#REF!</v>
      </c>
      <c r="CQ22" t="e">
        <f>AND(#REF!,"AAAAAHzXbV4=")</f>
        <v>#REF!</v>
      </c>
      <c r="CR22" t="e">
        <f>AND(#REF!,"AAAAAHzXbV8=")</f>
        <v>#REF!</v>
      </c>
      <c r="CS22" t="e">
        <f>AND(#REF!,"AAAAAHzXbWA=")</f>
        <v>#REF!</v>
      </c>
      <c r="CT22" t="e">
        <f>AND(#REF!,"AAAAAHzXbWE=")</f>
        <v>#REF!</v>
      </c>
      <c r="CU22" t="e">
        <f>AND(#REF!,"AAAAAHzXbWI=")</f>
        <v>#REF!</v>
      </c>
      <c r="CV22" t="e">
        <f>AND(#REF!,"AAAAAHzXbWM=")</f>
        <v>#REF!</v>
      </c>
      <c r="CW22" t="e">
        <f>AND(#REF!,"AAAAAHzXbWQ=")</f>
        <v>#REF!</v>
      </c>
      <c r="CX22" t="e">
        <f>AND(#REF!,"AAAAAHzXbWU=")</f>
        <v>#REF!</v>
      </c>
      <c r="CY22" t="e">
        <f>AND(#REF!,"AAAAAHzXbWY=")</f>
        <v>#REF!</v>
      </c>
      <c r="CZ22" t="e">
        <f>AND(#REF!,"AAAAAHzXbWc=")</f>
        <v>#REF!</v>
      </c>
      <c r="DA22" t="e">
        <f>AND(#REF!,"AAAAAHzXbWg=")</f>
        <v>#REF!</v>
      </c>
      <c r="DB22" t="e">
        <f>IF(#REF!,"AAAAAHzXbWk=",0)</f>
        <v>#REF!</v>
      </c>
      <c r="DC22" t="e">
        <f>AND(#REF!,"AAAAAHzXbWo=")</f>
        <v>#REF!</v>
      </c>
      <c r="DD22" t="e">
        <f>AND(#REF!,"AAAAAHzXbWs=")</f>
        <v>#REF!</v>
      </c>
      <c r="DE22" t="e">
        <f>AND(#REF!,"AAAAAHzXbWw=")</f>
        <v>#REF!</v>
      </c>
      <c r="DF22" t="e">
        <f>AND(#REF!,"AAAAAHzXbW0=")</f>
        <v>#REF!</v>
      </c>
      <c r="DG22" t="e">
        <f>AND(#REF!,"AAAAAHzXbW4=")</f>
        <v>#REF!</v>
      </c>
      <c r="DH22" t="e">
        <f>AND(#REF!,"AAAAAHzXbW8=")</f>
        <v>#REF!</v>
      </c>
      <c r="DI22" t="e">
        <f>AND(#REF!,"AAAAAHzXbXA=")</f>
        <v>#REF!</v>
      </c>
      <c r="DJ22" t="e">
        <f>AND(#REF!,"AAAAAHzXbXE=")</f>
        <v>#REF!</v>
      </c>
      <c r="DK22" t="e">
        <f>AND(#REF!,"AAAAAHzXbXI=")</f>
        <v>#REF!</v>
      </c>
      <c r="DL22" t="e">
        <f>AND(#REF!,"AAAAAHzXbXM=")</f>
        <v>#REF!</v>
      </c>
      <c r="DM22" t="e">
        <f>AND(#REF!,"AAAAAHzXbXQ=")</f>
        <v>#REF!</v>
      </c>
      <c r="DN22" t="e">
        <f>AND(#REF!,"AAAAAHzXbXU=")</f>
        <v>#REF!</v>
      </c>
      <c r="DO22" t="e">
        <f>AND(#REF!,"AAAAAHzXbXY=")</f>
        <v>#REF!</v>
      </c>
      <c r="DP22" t="e">
        <f>AND(#REF!,"AAAAAHzXbXc=")</f>
        <v>#REF!</v>
      </c>
      <c r="DQ22" t="e">
        <f>IF(#REF!,"AAAAAHzXbXg=",0)</f>
        <v>#REF!</v>
      </c>
      <c r="DR22" t="e">
        <f>AND(#REF!,"AAAAAHzXbXk=")</f>
        <v>#REF!</v>
      </c>
      <c r="DS22" t="e">
        <f>AND(#REF!,"AAAAAHzXbXo=")</f>
        <v>#REF!</v>
      </c>
      <c r="DT22" t="e">
        <f>AND(#REF!,"AAAAAHzXbXs=")</f>
        <v>#REF!</v>
      </c>
      <c r="DU22" t="e">
        <f>AND(#REF!,"AAAAAHzXbXw=")</f>
        <v>#REF!</v>
      </c>
      <c r="DV22" t="e">
        <f>AND(#REF!,"AAAAAHzXbX0=")</f>
        <v>#REF!</v>
      </c>
      <c r="DW22" t="e">
        <f>AND(#REF!,"AAAAAHzXbX4=")</f>
        <v>#REF!</v>
      </c>
      <c r="DX22" t="e">
        <f>AND(#REF!,"AAAAAHzXbX8=")</f>
        <v>#REF!</v>
      </c>
      <c r="DY22" t="e">
        <f>AND(#REF!,"AAAAAHzXbYA=")</f>
        <v>#REF!</v>
      </c>
      <c r="DZ22" t="e">
        <f>AND(#REF!,"AAAAAHzXbYE=")</f>
        <v>#REF!</v>
      </c>
      <c r="EA22" t="e">
        <f>AND(#REF!,"AAAAAHzXbYI=")</f>
        <v>#REF!</v>
      </c>
      <c r="EB22" t="e">
        <f>AND(#REF!,"AAAAAHzXbYM=")</f>
        <v>#REF!</v>
      </c>
      <c r="EC22" t="e">
        <f>AND(#REF!,"AAAAAHzXbYQ=")</f>
        <v>#REF!</v>
      </c>
      <c r="ED22" t="e">
        <f>AND(#REF!,"AAAAAHzXbYU=")</f>
        <v>#REF!</v>
      </c>
      <c r="EE22" t="e">
        <f>AND(#REF!,"AAAAAHzXbYY=")</f>
        <v>#REF!</v>
      </c>
      <c r="EF22" t="e">
        <f>IF(#REF!,"AAAAAHzXbYc=",0)</f>
        <v>#REF!</v>
      </c>
      <c r="EG22" t="e">
        <f>AND(#REF!,"AAAAAHzXbYg=")</f>
        <v>#REF!</v>
      </c>
      <c r="EH22" t="e">
        <f>AND(#REF!,"AAAAAHzXbYk=")</f>
        <v>#REF!</v>
      </c>
      <c r="EI22" t="e">
        <f>AND(#REF!,"AAAAAHzXbYo=")</f>
        <v>#REF!</v>
      </c>
      <c r="EJ22" t="e">
        <f>AND(#REF!,"AAAAAHzXbYs=")</f>
        <v>#REF!</v>
      </c>
      <c r="EK22" t="e">
        <f>AND(#REF!,"AAAAAHzXbYw=")</f>
        <v>#REF!</v>
      </c>
      <c r="EL22" t="e">
        <f>AND(#REF!,"AAAAAHzXbY0=")</f>
        <v>#REF!</v>
      </c>
      <c r="EM22" t="e">
        <f>AND(#REF!,"AAAAAHzXbY4=")</f>
        <v>#REF!</v>
      </c>
      <c r="EN22" t="e">
        <f>AND(#REF!,"AAAAAHzXbY8=")</f>
        <v>#REF!</v>
      </c>
      <c r="EO22" t="e">
        <f>AND(#REF!,"AAAAAHzXbZA=")</f>
        <v>#REF!</v>
      </c>
      <c r="EP22" t="e">
        <f>AND(#REF!,"AAAAAHzXbZE=")</f>
        <v>#REF!</v>
      </c>
      <c r="EQ22" t="e">
        <f>AND(#REF!,"AAAAAHzXbZI=")</f>
        <v>#REF!</v>
      </c>
      <c r="ER22" t="e">
        <f>AND(#REF!,"AAAAAHzXbZM=")</f>
        <v>#REF!</v>
      </c>
      <c r="ES22" t="e">
        <f>AND(#REF!,"AAAAAHzXbZQ=")</f>
        <v>#REF!</v>
      </c>
      <c r="ET22" t="e">
        <f>AND(#REF!,"AAAAAHzXbZU=")</f>
        <v>#REF!</v>
      </c>
      <c r="EU22" t="e">
        <f>IF(#REF!,"AAAAAHzXbZY=",0)</f>
        <v>#REF!</v>
      </c>
      <c r="EV22" t="e">
        <f>AND(#REF!,"AAAAAHzXbZc=")</f>
        <v>#REF!</v>
      </c>
      <c r="EW22" t="e">
        <f>AND(#REF!,"AAAAAHzXbZg=")</f>
        <v>#REF!</v>
      </c>
      <c r="EX22" t="e">
        <f>AND(#REF!,"AAAAAHzXbZk=")</f>
        <v>#REF!</v>
      </c>
      <c r="EY22" t="e">
        <f>AND(#REF!,"AAAAAHzXbZo=")</f>
        <v>#REF!</v>
      </c>
      <c r="EZ22" t="e">
        <f>AND(#REF!,"AAAAAHzXbZs=")</f>
        <v>#REF!</v>
      </c>
      <c r="FA22" t="e">
        <f>AND(#REF!,"AAAAAHzXbZw=")</f>
        <v>#REF!</v>
      </c>
      <c r="FB22" t="e">
        <f>AND(#REF!,"AAAAAHzXbZ0=")</f>
        <v>#REF!</v>
      </c>
      <c r="FC22" t="e">
        <f>AND(#REF!,"AAAAAHzXbZ4=")</f>
        <v>#REF!</v>
      </c>
      <c r="FD22" t="e">
        <f>AND(#REF!,"AAAAAHzXbZ8=")</f>
        <v>#REF!</v>
      </c>
      <c r="FE22" t="e">
        <f>AND(#REF!,"AAAAAHzXbaA=")</f>
        <v>#REF!</v>
      </c>
      <c r="FF22" t="e">
        <f>AND(#REF!,"AAAAAHzXbaE=")</f>
        <v>#REF!</v>
      </c>
      <c r="FG22" t="e">
        <f>AND(#REF!,"AAAAAHzXbaI=")</f>
        <v>#REF!</v>
      </c>
      <c r="FH22" t="e">
        <f>AND(#REF!,"AAAAAHzXbaM=")</f>
        <v>#REF!</v>
      </c>
      <c r="FI22" t="e">
        <f>AND(#REF!,"AAAAAHzXbaQ=")</f>
        <v>#REF!</v>
      </c>
      <c r="FJ22" t="e">
        <f>IF(#REF!,"AAAAAHzXbaU=",0)</f>
        <v>#REF!</v>
      </c>
      <c r="FK22" t="e">
        <f>AND(#REF!,"AAAAAHzXbaY=")</f>
        <v>#REF!</v>
      </c>
      <c r="FL22" t="e">
        <f>AND(#REF!,"AAAAAHzXbac=")</f>
        <v>#REF!</v>
      </c>
      <c r="FM22" t="e">
        <f>AND(#REF!,"AAAAAHzXbag=")</f>
        <v>#REF!</v>
      </c>
      <c r="FN22" t="e">
        <f>AND(#REF!,"AAAAAHzXbak=")</f>
        <v>#REF!</v>
      </c>
      <c r="FO22" t="e">
        <f>AND(#REF!,"AAAAAHzXbao=")</f>
        <v>#REF!</v>
      </c>
      <c r="FP22" t="e">
        <f>AND(#REF!,"AAAAAHzXbas=")</f>
        <v>#REF!</v>
      </c>
      <c r="FQ22" t="e">
        <f>AND(#REF!,"AAAAAHzXbaw=")</f>
        <v>#REF!</v>
      </c>
      <c r="FR22" t="e">
        <f>AND(#REF!,"AAAAAHzXba0=")</f>
        <v>#REF!</v>
      </c>
      <c r="FS22" t="e">
        <f>AND(#REF!,"AAAAAHzXba4=")</f>
        <v>#REF!</v>
      </c>
      <c r="FT22" t="e">
        <f>AND(#REF!,"AAAAAHzXba8=")</f>
        <v>#REF!</v>
      </c>
      <c r="FU22" t="e">
        <f>AND(#REF!,"AAAAAHzXbbA=")</f>
        <v>#REF!</v>
      </c>
      <c r="FV22" t="e">
        <f>AND(#REF!,"AAAAAHzXbbE=")</f>
        <v>#REF!</v>
      </c>
      <c r="FW22" t="e">
        <f>AND(#REF!,"AAAAAHzXbbI=")</f>
        <v>#REF!</v>
      </c>
      <c r="FX22" t="e">
        <f>AND(#REF!,"AAAAAHzXbbM=")</f>
        <v>#REF!</v>
      </c>
      <c r="FY22" t="e">
        <f>IF(#REF!,"AAAAAHzXbbQ=",0)</f>
        <v>#REF!</v>
      </c>
      <c r="FZ22" t="e">
        <f>AND(#REF!,"AAAAAHzXbbU=")</f>
        <v>#REF!</v>
      </c>
      <c r="GA22" t="e">
        <f>AND(#REF!,"AAAAAHzXbbY=")</f>
        <v>#REF!</v>
      </c>
      <c r="GB22" t="e">
        <f>AND(#REF!,"AAAAAHzXbbc=")</f>
        <v>#REF!</v>
      </c>
      <c r="GC22" t="e">
        <f>AND(#REF!,"AAAAAHzXbbg=")</f>
        <v>#REF!</v>
      </c>
      <c r="GD22" t="e">
        <f>AND(#REF!,"AAAAAHzXbbk=")</f>
        <v>#REF!</v>
      </c>
      <c r="GE22" t="e">
        <f>AND(#REF!,"AAAAAHzXbbo=")</f>
        <v>#REF!</v>
      </c>
      <c r="GF22" t="e">
        <f>AND(#REF!,"AAAAAHzXbbs=")</f>
        <v>#REF!</v>
      </c>
      <c r="GG22" t="e">
        <f>AND(#REF!,"AAAAAHzXbbw=")</f>
        <v>#REF!</v>
      </c>
      <c r="GH22" t="e">
        <f>AND(#REF!,"AAAAAHzXbb0=")</f>
        <v>#REF!</v>
      </c>
      <c r="GI22" t="e">
        <f>AND(#REF!,"AAAAAHzXbb4=")</f>
        <v>#REF!</v>
      </c>
      <c r="GJ22" t="e">
        <f>AND(#REF!,"AAAAAHzXbb8=")</f>
        <v>#REF!</v>
      </c>
      <c r="GK22" t="e">
        <f>AND(#REF!,"AAAAAHzXbcA=")</f>
        <v>#REF!</v>
      </c>
      <c r="GL22" t="e">
        <f>AND(#REF!,"AAAAAHzXbcE=")</f>
        <v>#REF!</v>
      </c>
      <c r="GM22" t="e">
        <f>AND(#REF!,"AAAAAHzXbcI=")</f>
        <v>#REF!</v>
      </c>
      <c r="GN22" t="e">
        <f>IF(#REF!,"AAAAAHzXbcM=",0)</f>
        <v>#REF!</v>
      </c>
      <c r="GO22" t="e">
        <f>AND(#REF!,"AAAAAHzXbcQ=")</f>
        <v>#REF!</v>
      </c>
      <c r="GP22" t="e">
        <f>AND(#REF!,"AAAAAHzXbcU=")</f>
        <v>#REF!</v>
      </c>
      <c r="GQ22" t="e">
        <f>AND(#REF!,"AAAAAHzXbcY=")</f>
        <v>#REF!</v>
      </c>
      <c r="GR22" t="e">
        <f>AND(#REF!,"AAAAAHzXbcc=")</f>
        <v>#REF!</v>
      </c>
      <c r="GS22" t="e">
        <f>AND(#REF!,"AAAAAHzXbcg=")</f>
        <v>#REF!</v>
      </c>
      <c r="GT22" t="e">
        <f>AND(#REF!,"AAAAAHzXbck=")</f>
        <v>#REF!</v>
      </c>
      <c r="GU22" t="e">
        <f>AND(#REF!,"AAAAAHzXbco=")</f>
        <v>#REF!</v>
      </c>
      <c r="GV22" t="e">
        <f>AND(#REF!,"AAAAAHzXbcs=")</f>
        <v>#REF!</v>
      </c>
      <c r="GW22" t="e">
        <f>AND(#REF!,"AAAAAHzXbcw=")</f>
        <v>#REF!</v>
      </c>
      <c r="GX22" t="e">
        <f>AND(#REF!,"AAAAAHzXbc0=")</f>
        <v>#REF!</v>
      </c>
      <c r="GY22" t="e">
        <f>AND(#REF!,"AAAAAHzXbc4=")</f>
        <v>#REF!</v>
      </c>
      <c r="GZ22" t="e">
        <f>AND(#REF!,"AAAAAHzXbc8=")</f>
        <v>#REF!</v>
      </c>
      <c r="HA22" t="e">
        <f>AND(#REF!,"AAAAAHzXbdA=")</f>
        <v>#REF!</v>
      </c>
      <c r="HB22" t="e">
        <f>AND(#REF!,"AAAAAHzXbdE=")</f>
        <v>#REF!</v>
      </c>
      <c r="HC22" t="e">
        <f>IF(#REF!,"AAAAAHzXbdI=",0)</f>
        <v>#REF!</v>
      </c>
      <c r="HD22" t="e">
        <f>AND(#REF!,"AAAAAHzXbdM=")</f>
        <v>#REF!</v>
      </c>
      <c r="HE22" t="e">
        <f>AND(#REF!,"AAAAAHzXbdQ=")</f>
        <v>#REF!</v>
      </c>
      <c r="HF22" t="e">
        <f>AND(#REF!,"AAAAAHzXbdU=")</f>
        <v>#REF!</v>
      </c>
      <c r="HG22" t="e">
        <f>AND(#REF!,"AAAAAHzXbdY=")</f>
        <v>#REF!</v>
      </c>
      <c r="HH22" t="e">
        <f>AND(#REF!,"AAAAAHzXbdc=")</f>
        <v>#REF!</v>
      </c>
      <c r="HI22" t="e">
        <f>AND(#REF!,"AAAAAHzXbdg=")</f>
        <v>#REF!</v>
      </c>
      <c r="HJ22" t="e">
        <f>AND(#REF!,"AAAAAHzXbdk=")</f>
        <v>#REF!</v>
      </c>
      <c r="HK22" t="e">
        <f>AND(#REF!,"AAAAAHzXbdo=")</f>
        <v>#REF!</v>
      </c>
      <c r="HL22" t="e">
        <f>AND(#REF!,"AAAAAHzXbds=")</f>
        <v>#REF!</v>
      </c>
      <c r="HM22" t="e">
        <f>AND(#REF!,"AAAAAHzXbdw=")</f>
        <v>#REF!</v>
      </c>
      <c r="HN22" t="e">
        <f>AND(#REF!,"AAAAAHzXbd0=")</f>
        <v>#REF!</v>
      </c>
      <c r="HO22" t="e">
        <f>AND(#REF!,"AAAAAHzXbd4=")</f>
        <v>#REF!</v>
      </c>
      <c r="HP22" t="e">
        <f>AND(#REF!,"AAAAAHzXbd8=")</f>
        <v>#REF!</v>
      </c>
      <c r="HQ22" t="e">
        <f>AND(#REF!,"AAAAAHzXbeA=")</f>
        <v>#REF!</v>
      </c>
      <c r="HR22" t="e">
        <f>IF(#REF!,"AAAAAHzXbeE=",0)</f>
        <v>#REF!</v>
      </c>
      <c r="HS22" t="e">
        <f>AND(#REF!,"AAAAAHzXbeI=")</f>
        <v>#REF!</v>
      </c>
      <c r="HT22" t="e">
        <f>AND(#REF!,"AAAAAHzXbeM=")</f>
        <v>#REF!</v>
      </c>
      <c r="HU22" t="e">
        <f>AND(#REF!,"AAAAAHzXbeQ=")</f>
        <v>#REF!</v>
      </c>
      <c r="HV22" t="e">
        <f>AND(#REF!,"AAAAAHzXbeU=")</f>
        <v>#REF!</v>
      </c>
      <c r="HW22" t="e">
        <f>AND(#REF!,"AAAAAHzXbeY=")</f>
        <v>#REF!</v>
      </c>
      <c r="HX22" t="e">
        <f>AND(#REF!,"AAAAAHzXbec=")</f>
        <v>#REF!</v>
      </c>
      <c r="HY22" t="e">
        <f>AND(#REF!,"AAAAAHzXbeg=")</f>
        <v>#REF!</v>
      </c>
      <c r="HZ22" t="e">
        <f>AND(#REF!,"AAAAAHzXbek=")</f>
        <v>#REF!</v>
      </c>
      <c r="IA22" t="e">
        <f>AND(#REF!,"AAAAAHzXbeo=")</f>
        <v>#REF!</v>
      </c>
      <c r="IB22" t="e">
        <f>AND(#REF!,"AAAAAHzXbes=")</f>
        <v>#REF!</v>
      </c>
      <c r="IC22" t="e">
        <f>AND(#REF!,"AAAAAHzXbew=")</f>
        <v>#REF!</v>
      </c>
      <c r="ID22" t="e">
        <f>AND(#REF!,"AAAAAHzXbe0=")</f>
        <v>#REF!</v>
      </c>
      <c r="IE22" t="e">
        <f>AND(#REF!,"AAAAAHzXbe4=")</f>
        <v>#REF!</v>
      </c>
      <c r="IF22" t="e">
        <f>AND(#REF!,"AAAAAHzXbe8=")</f>
        <v>#REF!</v>
      </c>
      <c r="IG22" t="e">
        <f>IF(#REF!,"AAAAAHzXbfA=",0)</f>
        <v>#REF!</v>
      </c>
      <c r="IH22" t="e">
        <f>AND(#REF!,"AAAAAHzXbfE=")</f>
        <v>#REF!</v>
      </c>
      <c r="II22" t="e">
        <f>AND(#REF!,"AAAAAHzXbfI=")</f>
        <v>#REF!</v>
      </c>
      <c r="IJ22" t="e">
        <f>AND(#REF!,"AAAAAHzXbfM=")</f>
        <v>#REF!</v>
      </c>
      <c r="IK22" t="e">
        <f>AND(#REF!,"AAAAAHzXbfQ=")</f>
        <v>#REF!</v>
      </c>
      <c r="IL22" t="e">
        <f>AND(#REF!,"AAAAAHzXbfU=")</f>
        <v>#REF!</v>
      </c>
      <c r="IM22" t="e">
        <f>AND(#REF!,"AAAAAHzXbfY=")</f>
        <v>#REF!</v>
      </c>
      <c r="IN22" t="e">
        <f>AND(#REF!,"AAAAAHzXbfc=")</f>
        <v>#REF!</v>
      </c>
      <c r="IO22" t="e">
        <f>AND(#REF!,"AAAAAHzXbfg=")</f>
        <v>#REF!</v>
      </c>
      <c r="IP22" t="e">
        <f>AND(#REF!,"AAAAAHzXbfk=")</f>
        <v>#REF!</v>
      </c>
      <c r="IQ22" t="e">
        <f>AND(#REF!,"AAAAAHzXbfo=")</f>
        <v>#REF!</v>
      </c>
      <c r="IR22" t="e">
        <f>AND(#REF!,"AAAAAHzXbfs=")</f>
        <v>#REF!</v>
      </c>
      <c r="IS22" t="e">
        <f>AND(#REF!,"AAAAAHzXbfw=")</f>
        <v>#REF!</v>
      </c>
      <c r="IT22" t="e">
        <f>AND(#REF!,"AAAAAHzXbf0=")</f>
        <v>#REF!</v>
      </c>
      <c r="IU22" t="e">
        <f>AND(#REF!,"AAAAAHzXbf4=")</f>
        <v>#REF!</v>
      </c>
      <c r="IV22" t="e">
        <f>IF(#REF!,"AAAAAHzXbf8=",0)</f>
        <v>#REF!</v>
      </c>
    </row>
    <row r="23" spans="1:256" x14ac:dyDescent="0.25">
      <c r="A23" t="e">
        <f>AND(#REF!,"AAAAAGvazwA=")</f>
        <v>#REF!</v>
      </c>
      <c r="B23" t="e">
        <f>AND(#REF!,"AAAAAGvazwE=")</f>
        <v>#REF!</v>
      </c>
      <c r="C23" t="e">
        <f>AND(#REF!,"AAAAAGvazwI=")</f>
        <v>#REF!</v>
      </c>
      <c r="D23" t="e">
        <f>AND(#REF!,"AAAAAGvazwM=")</f>
        <v>#REF!</v>
      </c>
      <c r="E23" t="e">
        <f>AND(#REF!,"AAAAAGvazwQ=")</f>
        <v>#REF!</v>
      </c>
      <c r="F23" t="e">
        <f>AND(#REF!,"AAAAAGvazwU=")</f>
        <v>#REF!</v>
      </c>
      <c r="G23" t="e">
        <f>AND(#REF!,"AAAAAGvazwY=")</f>
        <v>#REF!</v>
      </c>
      <c r="H23" t="e">
        <f>AND(#REF!,"AAAAAGvazwc=")</f>
        <v>#REF!</v>
      </c>
      <c r="I23" t="e">
        <f>AND(#REF!,"AAAAAGvazwg=")</f>
        <v>#REF!</v>
      </c>
      <c r="J23" t="e">
        <f>AND(#REF!,"AAAAAGvazwk=")</f>
        <v>#REF!</v>
      </c>
      <c r="K23" t="e">
        <f>AND(#REF!,"AAAAAGvazwo=")</f>
        <v>#REF!</v>
      </c>
      <c r="L23" t="e">
        <f>AND(#REF!,"AAAAAGvazws=")</f>
        <v>#REF!</v>
      </c>
      <c r="M23" t="e">
        <f>AND(#REF!,"AAAAAGvazww=")</f>
        <v>#REF!</v>
      </c>
      <c r="N23" t="e">
        <f>AND(#REF!,"AAAAAGvazw0=")</f>
        <v>#REF!</v>
      </c>
      <c r="O23" t="e">
        <f>IF(#REF!,"AAAAAGvazw4=",0)</f>
        <v>#REF!</v>
      </c>
      <c r="P23" t="e">
        <f>AND(#REF!,"AAAAAGvazw8=")</f>
        <v>#REF!</v>
      </c>
      <c r="Q23" t="e">
        <f>AND(#REF!,"AAAAAGvazxA=")</f>
        <v>#REF!</v>
      </c>
      <c r="R23" t="e">
        <f>AND(#REF!,"AAAAAGvazxE=")</f>
        <v>#REF!</v>
      </c>
      <c r="S23" t="e">
        <f>AND(#REF!,"AAAAAGvazxI=")</f>
        <v>#REF!</v>
      </c>
      <c r="T23" t="e">
        <f>AND(#REF!,"AAAAAGvazxM=")</f>
        <v>#REF!</v>
      </c>
      <c r="U23" t="e">
        <f>AND(#REF!,"AAAAAGvazxQ=")</f>
        <v>#REF!</v>
      </c>
      <c r="V23" t="e">
        <f>AND(#REF!,"AAAAAGvazxU=")</f>
        <v>#REF!</v>
      </c>
      <c r="W23" t="e">
        <f>AND(#REF!,"AAAAAGvazxY=")</f>
        <v>#REF!</v>
      </c>
      <c r="X23" t="e">
        <f>AND(#REF!,"AAAAAGvazxc=")</f>
        <v>#REF!</v>
      </c>
      <c r="Y23" t="e">
        <f>AND(#REF!,"AAAAAGvazxg=")</f>
        <v>#REF!</v>
      </c>
      <c r="Z23" t="e">
        <f>AND(#REF!,"AAAAAGvazxk=")</f>
        <v>#REF!</v>
      </c>
      <c r="AA23" t="e">
        <f>AND(#REF!,"AAAAAGvazxo=")</f>
        <v>#REF!</v>
      </c>
      <c r="AB23" t="e">
        <f>AND(#REF!,"AAAAAGvazxs=")</f>
        <v>#REF!</v>
      </c>
      <c r="AC23" t="e">
        <f>AND(#REF!,"AAAAAGvazxw=")</f>
        <v>#REF!</v>
      </c>
      <c r="AD23" t="e">
        <f>IF(#REF!,"AAAAAGvazx0=",0)</f>
        <v>#REF!</v>
      </c>
      <c r="AE23" t="e">
        <f>AND(#REF!,"AAAAAGvazx4=")</f>
        <v>#REF!</v>
      </c>
      <c r="AF23" t="e">
        <f>AND(#REF!,"AAAAAGvazx8=")</f>
        <v>#REF!</v>
      </c>
      <c r="AG23" t="e">
        <f>AND(#REF!,"AAAAAGvazyA=")</f>
        <v>#REF!</v>
      </c>
      <c r="AH23" t="e">
        <f>AND(#REF!,"AAAAAGvazyE=")</f>
        <v>#REF!</v>
      </c>
      <c r="AI23" t="e">
        <f>AND(#REF!,"AAAAAGvazyI=")</f>
        <v>#REF!</v>
      </c>
      <c r="AJ23" t="e">
        <f>AND(#REF!,"AAAAAGvazyM=")</f>
        <v>#REF!</v>
      </c>
      <c r="AK23" t="e">
        <f>AND(#REF!,"AAAAAGvazyQ=")</f>
        <v>#REF!</v>
      </c>
      <c r="AL23" t="e">
        <f>AND(#REF!,"AAAAAGvazyU=")</f>
        <v>#REF!</v>
      </c>
      <c r="AM23" t="e">
        <f>AND(#REF!,"AAAAAGvazyY=")</f>
        <v>#REF!</v>
      </c>
      <c r="AN23" t="e">
        <f>AND(#REF!,"AAAAAGvazyc=")</f>
        <v>#REF!</v>
      </c>
      <c r="AO23" t="e">
        <f>AND(#REF!,"AAAAAGvazyg=")</f>
        <v>#REF!</v>
      </c>
      <c r="AP23" t="e">
        <f>AND(#REF!,"AAAAAGvazyk=")</f>
        <v>#REF!</v>
      </c>
      <c r="AQ23" t="e">
        <f>AND(#REF!,"AAAAAGvazyo=")</f>
        <v>#REF!</v>
      </c>
      <c r="AR23" t="e">
        <f>AND(#REF!,"AAAAAGvazys=")</f>
        <v>#REF!</v>
      </c>
      <c r="AS23" t="e">
        <f>IF(#REF!,"AAAAAGvazyw=",0)</f>
        <v>#REF!</v>
      </c>
      <c r="AT23" t="e">
        <f>AND(#REF!,"AAAAAGvazy0=")</f>
        <v>#REF!</v>
      </c>
      <c r="AU23" t="e">
        <f>AND(#REF!,"AAAAAGvazy4=")</f>
        <v>#REF!</v>
      </c>
      <c r="AV23" t="e">
        <f>AND(#REF!,"AAAAAGvazy8=")</f>
        <v>#REF!</v>
      </c>
      <c r="AW23" t="e">
        <f>AND(#REF!,"AAAAAGvazzA=")</f>
        <v>#REF!</v>
      </c>
      <c r="AX23" t="e">
        <f>AND(#REF!,"AAAAAGvazzE=")</f>
        <v>#REF!</v>
      </c>
      <c r="AY23" t="e">
        <f>AND(#REF!,"AAAAAGvazzI=")</f>
        <v>#REF!</v>
      </c>
      <c r="AZ23" t="e">
        <f>AND(#REF!,"AAAAAGvazzM=")</f>
        <v>#REF!</v>
      </c>
      <c r="BA23" t="e">
        <f>AND(#REF!,"AAAAAGvazzQ=")</f>
        <v>#REF!</v>
      </c>
      <c r="BB23" t="e">
        <f>AND(#REF!,"AAAAAGvazzU=")</f>
        <v>#REF!</v>
      </c>
      <c r="BC23" t="e">
        <f>AND(#REF!,"AAAAAGvazzY=")</f>
        <v>#REF!</v>
      </c>
      <c r="BD23" t="e">
        <f>AND(#REF!,"AAAAAGvazzc=")</f>
        <v>#REF!</v>
      </c>
      <c r="BE23" t="e">
        <f>AND(#REF!,"AAAAAGvazzg=")</f>
        <v>#REF!</v>
      </c>
      <c r="BF23" t="e">
        <f>AND(#REF!,"AAAAAGvazzk=")</f>
        <v>#REF!</v>
      </c>
      <c r="BG23" t="e">
        <f>AND(#REF!,"AAAAAGvazzo=")</f>
        <v>#REF!</v>
      </c>
      <c r="BH23" t="e">
        <f>IF(#REF!,"AAAAAGvazzs=",0)</f>
        <v>#REF!</v>
      </c>
      <c r="BI23" t="e">
        <f>AND(#REF!,"AAAAAGvazzw=")</f>
        <v>#REF!</v>
      </c>
      <c r="BJ23" t="e">
        <f>AND(#REF!,"AAAAAGvazz0=")</f>
        <v>#REF!</v>
      </c>
      <c r="BK23" t="e">
        <f>AND(#REF!,"AAAAAGvazz4=")</f>
        <v>#REF!</v>
      </c>
      <c r="BL23" t="e">
        <f>AND(#REF!,"AAAAAGvazz8=")</f>
        <v>#REF!</v>
      </c>
      <c r="BM23" t="e">
        <f>AND(#REF!,"AAAAAGvaz0A=")</f>
        <v>#REF!</v>
      </c>
      <c r="BN23" t="e">
        <f>AND(#REF!,"AAAAAGvaz0E=")</f>
        <v>#REF!</v>
      </c>
      <c r="BO23" t="e">
        <f>AND(#REF!,"AAAAAGvaz0I=")</f>
        <v>#REF!</v>
      </c>
      <c r="BP23" t="e">
        <f>AND(#REF!,"AAAAAGvaz0M=")</f>
        <v>#REF!</v>
      </c>
      <c r="BQ23" t="e">
        <f>AND(#REF!,"AAAAAGvaz0Q=")</f>
        <v>#REF!</v>
      </c>
      <c r="BR23" t="e">
        <f>AND(#REF!,"AAAAAGvaz0U=")</f>
        <v>#REF!</v>
      </c>
      <c r="BS23" t="e">
        <f>AND(#REF!,"AAAAAGvaz0Y=")</f>
        <v>#REF!</v>
      </c>
      <c r="BT23" t="e">
        <f>AND(#REF!,"AAAAAGvaz0c=")</f>
        <v>#REF!</v>
      </c>
      <c r="BU23" t="e">
        <f>AND(#REF!,"AAAAAGvaz0g=")</f>
        <v>#REF!</v>
      </c>
      <c r="BV23" t="e">
        <f>AND(#REF!,"AAAAAGvaz0k=")</f>
        <v>#REF!</v>
      </c>
      <c r="BW23" t="e">
        <f>IF(#REF!,"AAAAAGvaz0o=",0)</f>
        <v>#REF!</v>
      </c>
      <c r="BX23" t="e">
        <f>AND(#REF!,"AAAAAGvaz0s=")</f>
        <v>#REF!</v>
      </c>
      <c r="BY23" t="e">
        <f>AND(#REF!,"AAAAAGvaz0w=")</f>
        <v>#REF!</v>
      </c>
      <c r="BZ23" t="e">
        <f>AND(#REF!,"AAAAAGvaz00=")</f>
        <v>#REF!</v>
      </c>
      <c r="CA23" t="e">
        <f>AND(#REF!,"AAAAAGvaz04=")</f>
        <v>#REF!</v>
      </c>
      <c r="CB23" t="e">
        <f>AND(#REF!,"AAAAAGvaz08=")</f>
        <v>#REF!</v>
      </c>
      <c r="CC23" t="e">
        <f>AND(#REF!,"AAAAAGvaz1A=")</f>
        <v>#REF!</v>
      </c>
      <c r="CD23" t="e">
        <f>AND(#REF!,"AAAAAGvaz1E=")</f>
        <v>#REF!</v>
      </c>
      <c r="CE23" t="e">
        <f>AND(#REF!,"AAAAAGvaz1I=")</f>
        <v>#REF!</v>
      </c>
      <c r="CF23" t="e">
        <f>AND(#REF!,"AAAAAGvaz1M=")</f>
        <v>#REF!</v>
      </c>
      <c r="CG23" t="e">
        <f>AND(#REF!,"AAAAAGvaz1Q=")</f>
        <v>#REF!</v>
      </c>
      <c r="CH23" t="e">
        <f>AND(#REF!,"AAAAAGvaz1U=")</f>
        <v>#REF!</v>
      </c>
      <c r="CI23" t="e">
        <f>AND(#REF!,"AAAAAGvaz1Y=")</f>
        <v>#REF!</v>
      </c>
      <c r="CJ23" t="e">
        <f>AND(#REF!,"AAAAAGvaz1c=")</f>
        <v>#REF!</v>
      </c>
      <c r="CK23" t="e">
        <f>AND(#REF!,"AAAAAGvaz1g=")</f>
        <v>#REF!</v>
      </c>
      <c r="CL23" t="e">
        <f>IF(#REF!,"AAAAAGvaz1k=",0)</f>
        <v>#REF!</v>
      </c>
      <c r="CM23" t="e">
        <f>AND(#REF!,"AAAAAGvaz1o=")</f>
        <v>#REF!</v>
      </c>
      <c r="CN23" t="e">
        <f>AND(#REF!,"AAAAAGvaz1s=")</f>
        <v>#REF!</v>
      </c>
      <c r="CO23" t="e">
        <f>AND(#REF!,"AAAAAGvaz1w=")</f>
        <v>#REF!</v>
      </c>
      <c r="CP23" t="e">
        <f>AND(#REF!,"AAAAAGvaz10=")</f>
        <v>#REF!</v>
      </c>
      <c r="CQ23" t="e">
        <f>AND(#REF!,"AAAAAGvaz14=")</f>
        <v>#REF!</v>
      </c>
      <c r="CR23" t="e">
        <f>AND(#REF!,"AAAAAGvaz18=")</f>
        <v>#REF!</v>
      </c>
      <c r="CS23" t="e">
        <f>AND(#REF!,"AAAAAGvaz2A=")</f>
        <v>#REF!</v>
      </c>
      <c r="CT23" t="e">
        <f>AND(#REF!,"AAAAAGvaz2E=")</f>
        <v>#REF!</v>
      </c>
      <c r="CU23" t="e">
        <f>AND(#REF!,"AAAAAGvaz2I=")</f>
        <v>#REF!</v>
      </c>
      <c r="CV23" t="e">
        <f>AND(#REF!,"AAAAAGvaz2M=")</f>
        <v>#REF!</v>
      </c>
      <c r="CW23" t="e">
        <f>AND(#REF!,"AAAAAGvaz2Q=")</f>
        <v>#REF!</v>
      </c>
      <c r="CX23" t="e">
        <f>AND(#REF!,"AAAAAGvaz2U=")</f>
        <v>#REF!</v>
      </c>
      <c r="CY23" t="e">
        <f>AND(#REF!,"AAAAAGvaz2Y=")</f>
        <v>#REF!</v>
      </c>
      <c r="CZ23" t="e">
        <f>AND(#REF!,"AAAAAGvaz2c=")</f>
        <v>#REF!</v>
      </c>
      <c r="DA23" t="e">
        <f>IF(#REF!,"AAAAAGvaz2g=",0)</f>
        <v>#REF!</v>
      </c>
      <c r="DB23" t="e">
        <f>IF(#REF!,"AAAAAGvaz2k=",0)</f>
        <v>#REF!</v>
      </c>
      <c r="DC23" t="e">
        <f>IF(#REF!,"AAAAAGvaz2o=",0)</f>
        <v>#REF!</v>
      </c>
      <c r="DD23" t="e">
        <f>IF(#REF!,"AAAAAGvaz2s=",0)</f>
        <v>#REF!</v>
      </c>
      <c r="DE23" t="e">
        <f>IF(#REF!,"AAAAAGvaz2w=",0)</f>
        <v>#REF!</v>
      </c>
      <c r="DF23" t="e">
        <f>IF(#REF!,"AAAAAGvaz20=",0)</f>
        <v>#REF!</v>
      </c>
      <c r="DG23" t="e">
        <f>IF(#REF!,"AAAAAGvaz24=",0)</f>
        <v>#REF!</v>
      </c>
      <c r="DH23" t="e">
        <f>IF(#REF!,"AAAAAGvaz28=",0)</f>
        <v>#REF!</v>
      </c>
      <c r="DI23" t="e">
        <f>IF(#REF!,"AAAAAGvaz3A=",0)</f>
        <v>#REF!</v>
      </c>
      <c r="DJ23" t="e">
        <f>IF(#REF!,"AAAAAGvaz3E=",0)</f>
        <v>#REF!</v>
      </c>
      <c r="DK23" t="e">
        <f>IF(#REF!,"AAAAAGvaz3I=",0)</f>
        <v>#REF!</v>
      </c>
      <c r="DL23" t="e">
        <f>IF(#REF!,"AAAAAGvaz3M=",0)</f>
        <v>#REF!</v>
      </c>
      <c r="DM23" t="e">
        <f>IF(#REF!,"AAAAAGvaz3Q=",0)</f>
        <v>#REF!</v>
      </c>
      <c r="DN23" t="e">
        <f>IF(#REF!,"AAAAAGvaz3U=",0)</f>
        <v>#REF!</v>
      </c>
      <c r="DO23" t="e">
        <f>IF(#REF!,"AAAAAGvaz3Y=",0)</f>
        <v>#REF!</v>
      </c>
      <c r="DP23" t="e">
        <f>IF(#REF!,"AAAAAGvaz3c=",0)</f>
        <v>#REF!</v>
      </c>
      <c r="DQ23" t="e">
        <f>IF(#REF!,"AAAAAGvaz3g=",0)</f>
        <v>#REF!</v>
      </c>
      <c r="DR23" t="e">
        <f>IF(#REF!,"AAAAAGvaz3k=",0)</f>
        <v>#REF!</v>
      </c>
      <c r="DS23" t="e">
        <f>IF(#REF!,"AAAAAGvaz3o=",0)</f>
        <v>#REF!</v>
      </c>
      <c r="DT23" t="e">
        <f>IF(#REF!,"AAAAAGvaz3s=",0)</f>
        <v>#REF!</v>
      </c>
      <c r="DU23" t="e">
        <f>IF(#REF!,"AAAAAGvaz3w=",0)</f>
        <v>#REF!</v>
      </c>
      <c r="DV23" t="e">
        <f>IF(#REF!,"AAAAAGvaz30=",0)</f>
        <v>#REF!</v>
      </c>
      <c r="DW23" t="e">
        <f>IF(#REF!,"AAAAAGvaz34=",0)</f>
        <v>#REF!</v>
      </c>
      <c r="DX23" t="e">
        <f>IF(#REF!,"AAAAAGvaz38=",0)</f>
        <v>#REF!</v>
      </c>
      <c r="DY23" t="e">
        <f>AND(#REF!,"AAAAAGvaz4A=")</f>
        <v>#REF!</v>
      </c>
      <c r="DZ23" t="e">
        <f>AND(#REF!,"AAAAAGvaz4E=")</f>
        <v>#REF!</v>
      </c>
      <c r="EA23" t="e">
        <f>AND(#REF!,"AAAAAGvaz4I=")</f>
        <v>#REF!</v>
      </c>
      <c r="EB23" t="e">
        <f>AND(#REF!,"AAAAAGvaz4M=")</f>
        <v>#REF!</v>
      </c>
      <c r="EC23" t="e">
        <f>AND(#REF!,"AAAAAGvaz4Q=")</f>
        <v>#REF!</v>
      </c>
      <c r="ED23" t="e">
        <f>AND(#REF!,"AAAAAGvaz4U=")</f>
        <v>#REF!</v>
      </c>
      <c r="EE23" t="e">
        <f>AND(#REF!,"AAAAAGvaz4Y=")</f>
        <v>#REF!</v>
      </c>
      <c r="EF23" t="e">
        <f>AND(#REF!,"AAAAAGvaz4c=")</f>
        <v>#REF!</v>
      </c>
      <c r="EG23" t="e">
        <f>AND(#REF!,"AAAAAGvaz4g=")</f>
        <v>#REF!</v>
      </c>
      <c r="EH23" t="e">
        <f>AND(#REF!,"AAAAAGvaz4k=")</f>
        <v>#REF!</v>
      </c>
      <c r="EI23" t="e">
        <f>AND(#REF!,"AAAAAGvaz4o=")</f>
        <v>#REF!</v>
      </c>
      <c r="EJ23" t="e">
        <f>AND(#REF!,"AAAAAGvaz4s=")</f>
        <v>#REF!</v>
      </c>
      <c r="EK23" t="e">
        <f>AND(#REF!,"AAAAAGvaz4w=")</f>
        <v>#REF!</v>
      </c>
      <c r="EL23" t="e">
        <f>AND(#REF!,"AAAAAGvaz40=")</f>
        <v>#REF!</v>
      </c>
      <c r="EM23" t="e">
        <f>IF(#REF!,"AAAAAGvaz44=",0)</f>
        <v>#REF!</v>
      </c>
      <c r="EN23" t="e">
        <f>AND(#REF!,"AAAAAGvaz48=")</f>
        <v>#REF!</v>
      </c>
      <c r="EO23" t="e">
        <f>AND(#REF!,"AAAAAGvaz5A=")</f>
        <v>#REF!</v>
      </c>
      <c r="EP23" t="e">
        <f>AND(#REF!,"AAAAAGvaz5E=")</f>
        <v>#REF!</v>
      </c>
      <c r="EQ23" t="e">
        <f>AND(#REF!,"AAAAAGvaz5I=")</f>
        <v>#REF!</v>
      </c>
      <c r="ER23" t="e">
        <f>AND(#REF!,"AAAAAGvaz5M=")</f>
        <v>#REF!</v>
      </c>
      <c r="ES23" t="e">
        <f>AND(#REF!,"AAAAAGvaz5Q=")</f>
        <v>#REF!</v>
      </c>
      <c r="ET23" t="e">
        <f>AND(#REF!,"AAAAAGvaz5U=")</f>
        <v>#REF!</v>
      </c>
      <c r="EU23" t="e">
        <f>AND(#REF!,"AAAAAGvaz5Y=")</f>
        <v>#REF!</v>
      </c>
      <c r="EV23" t="e">
        <f>AND(#REF!,"AAAAAGvaz5c=")</f>
        <v>#REF!</v>
      </c>
      <c r="EW23" t="e">
        <f>AND(#REF!,"AAAAAGvaz5g=")</f>
        <v>#REF!</v>
      </c>
      <c r="EX23" t="e">
        <f>AND(#REF!,"AAAAAGvaz5k=")</f>
        <v>#REF!</v>
      </c>
      <c r="EY23" t="e">
        <f>AND(#REF!,"AAAAAGvaz5o=")</f>
        <v>#REF!</v>
      </c>
      <c r="EZ23" t="e">
        <f>AND(#REF!,"AAAAAGvaz5s=")</f>
        <v>#REF!</v>
      </c>
      <c r="FA23" t="e">
        <f>AND(#REF!,"AAAAAGvaz5w=")</f>
        <v>#REF!</v>
      </c>
      <c r="FB23" t="e">
        <f>IF(#REF!,"AAAAAGvaz50=",0)</f>
        <v>#REF!</v>
      </c>
      <c r="FC23" t="e">
        <f>AND(#REF!,"AAAAAGvaz54=")</f>
        <v>#REF!</v>
      </c>
      <c r="FD23" t="e">
        <f>AND(#REF!,"AAAAAGvaz58=")</f>
        <v>#REF!</v>
      </c>
      <c r="FE23" t="e">
        <f>AND(#REF!,"AAAAAGvaz6A=")</f>
        <v>#REF!</v>
      </c>
      <c r="FF23" t="e">
        <f>AND(#REF!,"AAAAAGvaz6E=")</f>
        <v>#REF!</v>
      </c>
      <c r="FG23" t="e">
        <f>AND(#REF!,"AAAAAGvaz6I=")</f>
        <v>#REF!</v>
      </c>
      <c r="FH23" t="e">
        <f>AND(#REF!,"AAAAAGvaz6M=")</f>
        <v>#REF!</v>
      </c>
      <c r="FI23" t="e">
        <f>AND(#REF!,"AAAAAGvaz6Q=")</f>
        <v>#REF!</v>
      </c>
      <c r="FJ23" t="e">
        <f>AND(#REF!,"AAAAAGvaz6U=")</f>
        <v>#REF!</v>
      </c>
      <c r="FK23" t="e">
        <f>AND(#REF!,"AAAAAGvaz6Y=")</f>
        <v>#REF!</v>
      </c>
      <c r="FL23" t="e">
        <f>AND(#REF!,"AAAAAGvaz6c=")</f>
        <v>#REF!</v>
      </c>
      <c r="FM23" t="e">
        <f>AND(#REF!,"AAAAAGvaz6g=")</f>
        <v>#REF!</v>
      </c>
      <c r="FN23" t="e">
        <f>AND(#REF!,"AAAAAGvaz6k=")</f>
        <v>#REF!</v>
      </c>
      <c r="FO23" t="e">
        <f>AND(#REF!,"AAAAAGvaz6o=")</f>
        <v>#REF!</v>
      </c>
      <c r="FP23" t="e">
        <f>AND(#REF!,"AAAAAGvaz6s=")</f>
        <v>#REF!</v>
      </c>
      <c r="FQ23" t="e">
        <f>IF(#REF!,"AAAAAGvaz6w=",0)</f>
        <v>#REF!</v>
      </c>
      <c r="FR23" t="e">
        <f>AND(#REF!,"AAAAAGvaz60=")</f>
        <v>#REF!</v>
      </c>
      <c r="FS23" t="e">
        <f>AND(#REF!,"AAAAAGvaz64=")</f>
        <v>#REF!</v>
      </c>
      <c r="FT23" t="e">
        <f>AND(#REF!,"AAAAAGvaz68=")</f>
        <v>#REF!</v>
      </c>
      <c r="FU23" t="e">
        <f>AND(#REF!,"AAAAAGvaz7A=")</f>
        <v>#REF!</v>
      </c>
      <c r="FV23" t="e">
        <f>AND(#REF!,"AAAAAGvaz7E=")</f>
        <v>#REF!</v>
      </c>
      <c r="FW23" t="e">
        <f>AND(#REF!,"AAAAAGvaz7I=")</f>
        <v>#REF!</v>
      </c>
      <c r="FX23" t="e">
        <f>AND(#REF!,"AAAAAGvaz7M=")</f>
        <v>#REF!</v>
      </c>
      <c r="FY23" t="e">
        <f>AND(#REF!,"AAAAAGvaz7Q=")</f>
        <v>#REF!</v>
      </c>
      <c r="FZ23" t="e">
        <f>AND(#REF!,"AAAAAGvaz7U=")</f>
        <v>#REF!</v>
      </c>
      <c r="GA23" t="e">
        <f>AND(#REF!,"AAAAAGvaz7Y=")</f>
        <v>#REF!</v>
      </c>
      <c r="GB23" t="e">
        <f>AND(#REF!,"AAAAAGvaz7c=")</f>
        <v>#REF!</v>
      </c>
      <c r="GC23" t="e">
        <f>AND(#REF!,"AAAAAGvaz7g=")</f>
        <v>#REF!</v>
      </c>
      <c r="GD23" t="e">
        <f>AND(#REF!,"AAAAAGvaz7k=")</f>
        <v>#REF!</v>
      </c>
      <c r="GE23" t="e">
        <f>AND(#REF!,"AAAAAGvaz7o=")</f>
        <v>#REF!</v>
      </c>
      <c r="GF23" t="e">
        <f>IF(#REF!,"AAAAAGvaz7s=",0)</f>
        <v>#REF!</v>
      </c>
      <c r="GG23" t="e">
        <f>AND(#REF!,"AAAAAGvaz7w=")</f>
        <v>#REF!</v>
      </c>
      <c r="GH23" t="e">
        <f>AND(#REF!,"AAAAAGvaz70=")</f>
        <v>#REF!</v>
      </c>
      <c r="GI23" t="e">
        <f>AND(#REF!,"AAAAAGvaz74=")</f>
        <v>#REF!</v>
      </c>
      <c r="GJ23" t="e">
        <f>AND(#REF!,"AAAAAGvaz78=")</f>
        <v>#REF!</v>
      </c>
      <c r="GK23" t="e">
        <f>AND(#REF!,"AAAAAGvaz8A=")</f>
        <v>#REF!</v>
      </c>
      <c r="GL23" t="e">
        <f>AND(#REF!,"AAAAAGvaz8E=")</f>
        <v>#REF!</v>
      </c>
      <c r="GM23" t="e">
        <f>AND(#REF!,"AAAAAGvaz8I=")</f>
        <v>#REF!</v>
      </c>
      <c r="GN23" t="e">
        <f>AND(#REF!,"AAAAAGvaz8M=")</f>
        <v>#REF!</v>
      </c>
      <c r="GO23" t="e">
        <f>AND(#REF!,"AAAAAGvaz8Q=")</f>
        <v>#REF!</v>
      </c>
      <c r="GP23" t="e">
        <f>AND(#REF!,"AAAAAGvaz8U=")</f>
        <v>#REF!</v>
      </c>
      <c r="GQ23" t="e">
        <f>AND(#REF!,"AAAAAGvaz8Y=")</f>
        <v>#REF!</v>
      </c>
      <c r="GR23" t="e">
        <f>AND(#REF!,"AAAAAGvaz8c=")</f>
        <v>#REF!</v>
      </c>
      <c r="GS23" t="e">
        <f>AND(#REF!,"AAAAAGvaz8g=")</f>
        <v>#REF!</v>
      </c>
      <c r="GT23" t="e">
        <f>AND(#REF!,"AAAAAGvaz8k=")</f>
        <v>#REF!</v>
      </c>
      <c r="GU23" t="e">
        <f>IF(#REF!,"AAAAAGvaz8o=",0)</f>
        <v>#REF!</v>
      </c>
      <c r="GV23" t="e">
        <f>AND(#REF!,"AAAAAGvaz8s=")</f>
        <v>#REF!</v>
      </c>
      <c r="GW23" t="e">
        <f>AND(#REF!,"AAAAAGvaz8w=")</f>
        <v>#REF!</v>
      </c>
      <c r="GX23" t="e">
        <f>AND(#REF!,"AAAAAGvaz80=")</f>
        <v>#REF!</v>
      </c>
      <c r="GY23" t="e">
        <f>AND(#REF!,"AAAAAGvaz84=")</f>
        <v>#REF!</v>
      </c>
      <c r="GZ23" t="e">
        <f>AND(#REF!,"AAAAAGvaz88=")</f>
        <v>#REF!</v>
      </c>
      <c r="HA23" t="e">
        <f>AND(#REF!,"AAAAAGvaz9A=")</f>
        <v>#REF!</v>
      </c>
      <c r="HB23" t="e">
        <f>AND(#REF!,"AAAAAGvaz9E=")</f>
        <v>#REF!</v>
      </c>
      <c r="HC23" t="e">
        <f>AND(#REF!,"AAAAAGvaz9I=")</f>
        <v>#REF!</v>
      </c>
      <c r="HD23" t="e">
        <f>AND(#REF!,"AAAAAGvaz9M=")</f>
        <v>#REF!</v>
      </c>
      <c r="HE23" t="e">
        <f>AND(#REF!,"AAAAAGvaz9Q=")</f>
        <v>#REF!</v>
      </c>
      <c r="HF23" t="e">
        <f>AND(#REF!,"AAAAAGvaz9U=")</f>
        <v>#REF!</v>
      </c>
      <c r="HG23" t="e">
        <f>AND(#REF!,"AAAAAGvaz9Y=")</f>
        <v>#REF!</v>
      </c>
      <c r="HH23" t="e">
        <f>AND(#REF!,"AAAAAGvaz9c=")</f>
        <v>#REF!</v>
      </c>
      <c r="HI23" t="e">
        <f>AND(#REF!,"AAAAAGvaz9g=")</f>
        <v>#REF!</v>
      </c>
      <c r="HJ23" t="e">
        <f>IF(#REF!,"AAAAAGvaz9k=",0)</f>
        <v>#REF!</v>
      </c>
      <c r="HK23" t="e">
        <f>AND(#REF!,"AAAAAGvaz9o=")</f>
        <v>#REF!</v>
      </c>
      <c r="HL23" t="e">
        <f>AND(#REF!,"AAAAAGvaz9s=")</f>
        <v>#REF!</v>
      </c>
      <c r="HM23" t="e">
        <f>AND(#REF!,"AAAAAGvaz9w=")</f>
        <v>#REF!</v>
      </c>
      <c r="HN23" t="e">
        <f>AND(#REF!,"AAAAAGvaz90=")</f>
        <v>#REF!</v>
      </c>
      <c r="HO23" t="e">
        <f>AND(#REF!,"AAAAAGvaz94=")</f>
        <v>#REF!</v>
      </c>
      <c r="HP23" t="e">
        <f>AND(#REF!,"AAAAAGvaz98=")</f>
        <v>#REF!</v>
      </c>
      <c r="HQ23" t="e">
        <f>AND(#REF!,"AAAAAGvaz+A=")</f>
        <v>#REF!</v>
      </c>
      <c r="HR23" t="e">
        <f>AND(#REF!,"AAAAAGvaz+E=")</f>
        <v>#REF!</v>
      </c>
      <c r="HS23" t="e">
        <f>AND(#REF!,"AAAAAGvaz+I=")</f>
        <v>#REF!</v>
      </c>
      <c r="HT23" t="e">
        <f>AND(#REF!,"AAAAAGvaz+M=")</f>
        <v>#REF!</v>
      </c>
      <c r="HU23" t="e">
        <f>AND(#REF!,"AAAAAGvaz+Q=")</f>
        <v>#REF!</v>
      </c>
      <c r="HV23" t="e">
        <f>AND(#REF!,"AAAAAGvaz+U=")</f>
        <v>#REF!</v>
      </c>
      <c r="HW23" t="e">
        <f>AND(#REF!,"AAAAAGvaz+Y=")</f>
        <v>#REF!</v>
      </c>
      <c r="HX23" t="e">
        <f>AND(#REF!,"AAAAAGvaz+c=")</f>
        <v>#REF!</v>
      </c>
      <c r="HY23" t="e">
        <f>IF(#REF!,"AAAAAGvaz+g=",0)</f>
        <v>#REF!</v>
      </c>
      <c r="HZ23" t="e">
        <f>AND(#REF!,"AAAAAGvaz+k=")</f>
        <v>#REF!</v>
      </c>
      <c r="IA23" t="e">
        <f>AND(#REF!,"AAAAAGvaz+o=")</f>
        <v>#REF!</v>
      </c>
      <c r="IB23" t="e">
        <f>AND(#REF!,"AAAAAGvaz+s=")</f>
        <v>#REF!</v>
      </c>
      <c r="IC23" t="e">
        <f>AND(#REF!,"AAAAAGvaz+w=")</f>
        <v>#REF!</v>
      </c>
      <c r="ID23" t="e">
        <f>AND(#REF!,"AAAAAGvaz+0=")</f>
        <v>#REF!</v>
      </c>
      <c r="IE23" t="e">
        <f>AND(#REF!,"AAAAAGvaz+4=")</f>
        <v>#REF!</v>
      </c>
      <c r="IF23" t="e">
        <f>AND(#REF!,"AAAAAGvaz+8=")</f>
        <v>#REF!</v>
      </c>
      <c r="IG23" t="e">
        <f>AND(#REF!,"AAAAAGvaz/A=")</f>
        <v>#REF!</v>
      </c>
      <c r="IH23" t="e">
        <f>AND(#REF!,"AAAAAGvaz/E=")</f>
        <v>#REF!</v>
      </c>
      <c r="II23" t="e">
        <f>AND(#REF!,"AAAAAGvaz/I=")</f>
        <v>#REF!</v>
      </c>
      <c r="IJ23" t="e">
        <f>AND(#REF!,"AAAAAGvaz/M=")</f>
        <v>#REF!</v>
      </c>
      <c r="IK23" t="e">
        <f>AND(#REF!,"AAAAAGvaz/Q=")</f>
        <v>#REF!</v>
      </c>
      <c r="IL23" t="e">
        <f>AND(#REF!,"AAAAAGvaz/U=")</f>
        <v>#REF!</v>
      </c>
      <c r="IM23" t="e">
        <f>AND(#REF!,"AAAAAGvaz/Y=")</f>
        <v>#REF!</v>
      </c>
      <c r="IN23" t="e">
        <f>IF(#REF!,"AAAAAGvaz/c=",0)</f>
        <v>#REF!</v>
      </c>
      <c r="IO23" t="e">
        <f>AND(#REF!,"AAAAAGvaz/g=")</f>
        <v>#REF!</v>
      </c>
      <c r="IP23" t="e">
        <f>AND(#REF!,"AAAAAGvaz/k=")</f>
        <v>#REF!</v>
      </c>
      <c r="IQ23" t="e">
        <f>AND(#REF!,"AAAAAGvaz/o=")</f>
        <v>#REF!</v>
      </c>
      <c r="IR23" t="e">
        <f>AND(#REF!,"AAAAAGvaz/s=")</f>
        <v>#REF!</v>
      </c>
      <c r="IS23" t="e">
        <f>AND(#REF!,"AAAAAGvaz/w=")</f>
        <v>#REF!</v>
      </c>
      <c r="IT23" t="e">
        <f>AND(#REF!,"AAAAAGvaz/0=")</f>
        <v>#REF!</v>
      </c>
      <c r="IU23" t="e">
        <f>AND(#REF!,"AAAAAGvaz/4=")</f>
        <v>#REF!</v>
      </c>
      <c r="IV23" t="e">
        <f>AND(#REF!,"AAAAAGvaz/8=")</f>
        <v>#REF!</v>
      </c>
    </row>
    <row r="24" spans="1:256" x14ac:dyDescent="0.25">
      <c r="A24" t="e">
        <f>AND(#REF!,"AAAAAHvtdwA=")</f>
        <v>#REF!</v>
      </c>
      <c r="B24" t="e">
        <f>AND(#REF!,"AAAAAHvtdwE=")</f>
        <v>#REF!</v>
      </c>
      <c r="C24" t="e">
        <f>AND(#REF!,"AAAAAHvtdwI=")</f>
        <v>#REF!</v>
      </c>
      <c r="D24" t="e">
        <f>AND(#REF!,"AAAAAHvtdwM=")</f>
        <v>#REF!</v>
      </c>
      <c r="E24" t="e">
        <f>AND(#REF!,"AAAAAHvtdwQ=")</f>
        <v>#REF!</v>
      </c>
      <c r="F24" t="e">
        <f>AND(#REF!,"AAAAAHvtdwU=")</f>
        <v>#REF!</v>
      </c>
      <c r="G24" t="e">
        <f>IF(#REF!,"AAAAAHvtdwY=",0)</f>
        <v>#REF!</v>
      </c>
      <c r="H24" t="e">
        <f>AND(#REF!,"AAAAAHvtdwc=")</f>
        <v>#REF!</v>
      </c>
      <c r="I24" t="e">
        <f>AND(#REF!,"AAAAAHvtdwg=")</f>
        <v>#REF!</v>
      </c>
      <c r="J24" t="e">
        <f>AND(#REF!,"AAAAAHvtdwk=")</f>
        <v>#REF!</v>
      </c>
      <c r="K24" t="e">
        <f>AND(#REF!,"AAAAAHvtdwo=")</f>
        <v>#REF!</v>
      </c>
      <c r="L24" t="e">
        <f>AND(#REF!,"AAAAAHvtdws=")</f>
        <v>#REF!</v>
      </c>
      <c r="M24" t="e">
        <f>AND(#REF!,"AAAAAHvtdww=")</f>
        <v>#REF!</v>
      </c>
      <c r="N24" t="e">
        <f>AND(#REF!,"AAAAAHvtdw0=")</f>
        <v>#REF!</v>
      </c>
      <c r="O24" t="e">
        <f>AND(#REF!,"AAAAAHvtdw4=")</f>
        <v>#REF!</v>
      </c>
      <c r="P24" t="e">
        <f>AND(#REF!,"AAAAAHvtdw8=")</f>
        <v>#REF!</v>
      </c>
      <c r="Q24" t="e">
        <f>AND(#REF!,"AAAAAHvtdxA=")</f>
        <v>#REF!</v>
      </c>
      <c r="R24" t="e">
        <f>AND(#REF!,"AAAAAHvtdxE=")</f>
        <v>#REF!</v>
      </c>
      <c r="S24" t="e">
        <f>AND(#REF!,"AAAAAHvtdxI=")</f>
        <v>#REF!</v>
      </c>
      <c r="T24" t="e">
        <f>AND(#REF!,"AAAAAHvtdxM=")</f>
        <v>#REF!</v>
      </c>
      <c r="U24" t="e">
        <f>AND(#REF!,"AAAAAHvtdxQ=")</f>
        <v>#REF!</v>
      </c>
      <c r="V24" t="e">
        <f>IF(#REF!,"AAAAAHvtdxU=",0)</f>
        <v>#REF!</v>
      </c>
      <c r="W24" t="e">
        <f>AND(#REF!,"AAAAAHvtdxY=")</f>
        <v>#REF!</v>
      </c>
      <c r="X24" t="e">
        <f>AND(#REF!,"AAAAAHvtdxc=")</f>
        <v>#REF!</v>
      </c>
      <c r="Y24" t="e">
        <f>AND(#REF!,"AAAAAHvtdxg=")</f>
        <v>#REF!</v>
      </c>
      <c r="Z24" t="e">
        <f>AND(#REF!,"AAAAAHvtdxk=")</f>
        <v>#REF!</v>
      </c>
      <c r="AA24" t="e">
        <f>AND(#REF!,"AAAAAHvtdxo=")</f>
        <v>#REF!</v>
      </c>
      <c r="AB24" t="e">
        <f>AND(#REF!,"AAAAAHvtdxs=")</f>
        <v>#REF!</v>
      </c>
      <c r="AC24" t="e">
        <f>AND(#REF!,"AAAAAHvtdxw=")</f>
        <v>#REF!</v>
      </c>
      <c r="AD24" t="e">
        <f>AND(#REF!,"AAAAAHvtdx0=")</f>
        <v>#REF!</v>
      </c>
      <c r="AE24" t="e">
        <f>AND(#REF!,"AAAAAHvtdx4=")</f>
        <v>#REF!</v>
      </c>
      <c r="AF24" t="e">
        <f>AND(#REF!,"AAAAAHvtdx8=")</f>
        <v>#REF!</v>
      </c>
      <c r="AG24" t="e">
        <f>AND(#REF!,"AAAAAHvtdyA=")</f>
        <v>#REF!</v>
      </c>
      <c r="AH24" t="e">
        <f>AND(#REF!,"AAAAAHvtdyE=")</f>
        <v>#REF!</v>
      </c>
      <c r="AI24" t="e">
        <f>AND(#REF!,"AAAAAHvtdyI=")</f>
        <v>#REF!</v>
      </c>
      <c r="AJ24" t="e">
        <f>AND(#REF!,"AAAAAHvtdyM=")</f>
        <v>#REF!</v>
      </c>
      <c r="AK24" t="e">
        <f>IF(#REF!,"AAAAAHvtdyQ=",0)</f>
        <v>#REF!</v>
      </c>
      <c r="AL24" t="e">
        <f>AND(#REF!,"AAAAAHvtdyU=")</f>
        <v>#REF!</v>
      </c>
      <c r="AM24" t="e">
        <f>AND(#REF!,"AAAAAHvtdyY=")</f>
        <v>#REF!</v>
      </c>
      <c r="AN24" t="e">
        <f>AND(#REF!,"AAAAAHvtdyc=")</f>
        <v>#REF!</v>
      </c>
      <c r="AO24" t="e">
        <f>AND(#REF!,"AAAAAHvtdyg=")</f>
        <v>#REF!</v>
      </c>
      <c r="AP24" t="e">
        <f>AND(#REF!,"AAAAAHvtdyk=")</f>
        <v>#REF!</v>
      </c>
      <c r="AQ24" t="e">
        <f>AND(#REF!,"AAAAAHvtdyo=")</f>
        <v>#REF!</v>
      </c>
      <c r="AR24" t="e">
        <f>AND(#REF!,"AAAAAHvtdys=")</f>
        <v>#REF!</v>
      </c>
      <c r="AS24" t="e">
        <f>AND(#REF!,"AAAAAHvtdyw=")</f>
        <v>#REF!</v>
      </c>
      <c r="AT24" t="e">
        <f>AND(#REF!,"AAAAAHvtdy0=")</f>
        <v>#REF!</v>
      </c>
      <c r="AU24" t="e">
        <f>AND(#REF!,"AAAAAHvtdy4=")</f>
        <v>#REF!</v>
      </c>
      <c r="AV24" t="e">
        <f>AND(#REF!,"AAAAAHvtdy8=")</f>
        <v>#REF!</v>
      </c>
      <c r="AW24" t="e">
        <f>AND(#REF!,"AAAAAHvtdzA=")</f>
        <v>#REF!</v>
      </c>
      <c r="AX24" t="e">
        <f>AND(#REF!,"AAAAAHvtdzE=")</f>
        <v>#REF!</v>
      </c>
      <c r="AY24" t="e">
        <f>AND(#REF!,"AAAAAHvtdzI=")</f>
        <v>#REF!</v>
      </c>
      <c r="AZ24" t="e">
        <f>IF(#REF!,"AAAAAHvtdzM=",0)</f>
        <v>#REF!</v>
      </c>
      <c r="BA24" t="e">
        <f>AND(#REF!,"AAAAAHvtdzQ=")</f>
        <v>#REF!</v>
      </c>
      <c r="BB24" t="e">
        <f>AND(#REF!,"AAAAAHvtdzU=")</f>
        <v>#REF!</v>
      </c>
      <c r="BC24" t="e">
        <f>AND(#REF!,"AAAAAHvtdzY=")</f>
        <v>#REF!</v>
      </c>
      <c r="BD24" t="e">
        <f>AND(#REF!,"AAAAAHvtdzc=")</f>
        <v>#REF!</v>
      </c>
      <c r="BE24" t="e">
        <f>AND(#REF!,"AAAAAHvtdzg=")</f>
        <v>#REF!</v>
      </c>
      <c r="BF24" t="e">
        <f>AND(#REF!,"AAAAAHvtdzk=")</f>
        <v>#REF!</v>
      </c>
      <c r="BG24" t="e">
        <f>AND(#REF!,"AAAAAHvtdzo=")</f>
        <v>#REF!</v>
      </c>
      <c r="BH24" t="e">
        <f>AND(#REF!,"AAAAAHvtdzs=")</f>
        <v>#REF!</v>
      </c>
      <c r="BI24" t="e">
        <f>AND(#REF!,"AAAAAHvtdzw=")</f>
        <v>#REF!</v>
      </c>
      <c r="BJ24" t="e">
        <f>AND(#REF!,"AAAAAHvtdz0=")</f>
        <v>#REF!</v>
      </c>
      <c r="BK24" t="e">
        <f>AND(#REF!,"AAAAAHvtdz4=")</f>
        <v>#REF!</v>
      </c>
      <c r="BL24" t="e">
        <f>AND(#REF!,"AAAAAHvtdz8=")</f>
        <v>#REF!</v>
      </c>
      <c r="BM24" t="e">
        <f>AND(#REF!,"AAAAAHvtd0A=")</f>
        <v>#REF!</v>
      </c>
      <c r="BN24" t="e">
        <f>AND(#REF!,"AAAAAHvtd0E=")</f>
        <v>#REF!</v>
      </c>
      <c r="BO24" t="e">
        <f>IF(#REF!,"AAAAAHvtd0I=",0)</f>
        <v>#REF!</v>
      </c>
      <c r="BP24" t="e">
        <f>AND(#REF!,"AAAAAHvtd0M=")</f>
        <v>#REF!</v>
      </c>
      <c r="BQ24" t="e">
        <f>AND(#REF!,"AAAAAHvtd0Q=")</f>
        <v>#REF!</v>
      </c>
      <c r="BR24" t="e">
        <f>AND(#REF!,"AAAAAHvtd0U=")</f>
        <v>#REF!</v>
      </c>
      <c r="BS24" t="e">
        <f>AND(#REF!,"AAAAAHvtd0Y=")</f>
        <v>#REF!</v>
      </c>
      <c r="BT24" t="e">
        <f>AND(#REF!,"AAAAAHvtd0c=")</f>
        <v>#REF!</v>
      </c>
      <c r="BU24" t="e">
        <f>AND(#REF!,"AAAAAHvtd0g=")</f>
        <v>#REF!</v>
      </c>
      <c r="BV24" t="e">
        <f>AND(#REF!,"AAAAAHvtd0k=")</f>
        <v>#REF!</v>
      </c>
      <c r="BW24" t="e">
        <f>AND(#REF!,"AAAAAHvtd0o=")</f>
        <v>#REF!</v>
      </c>
      <c r="BX24" t="e">
        <f>AND(#REF!,"AAAAAHvtd0s=")</f>
        <v>#REF!</v>
      </c>
      <c r="BY24" t="e">
        <f>AND(#REF!,"AAAAAHvtd0w=")</f>
        <v>#REF!</v>
      </c>
      <c r="BZ24" t="e">
        <f>AND(#REF!,"AAAAAHvtd00=")</f>
        <v>#REF!</v>
      </c>
      <c r="CA24" t="e">
        <f>AND(#REF!,"AAAAAHvtd04=")</f>
        <v>#REF!</v>
      </c>
      <c r="CB24" t="e">
        <f>AND(#REF!,"AAAAAHvtd08=")</f>
        <v>#REF!</v>
      </c>
      <c r="CC24" t="e">
        <f>AND(#REF!,"AAAAAHvtd1A=")</f>
        <v>#REF!</v>
      </c>
      <c r="CD24" t="e">
        <f>IF(#REF!,"AAAAAHvtd1E=",0)</f>
        <v>#REF!</v>
      </c>
      <c r="CE24" t="e">
        <f>AND(#REF!,"AAAAAHvtd1I=")</f>
        <v>#REF!</v>
      </c>
      <c r="CF24" t="e">
        <f>AND(#REF!,"AAAAAHvtd1M=")</f>
        <v>#REF!</v>
      </c>
      <c r="CG24" t="e">
        <f>AND(#REF!,"AAAAAHvtd1Q=")</f>
        <v>#REF!</v>
      </c>
      <c r="CH24" t="e">
        <f>AND(#REF!,"AAAAAHvtd1U=")</f>
        <v>#REF!</v>
      </c>
      <c r="CI24" t="e">
        <f>AND(#REF!,"AAAAAHvtd1Y=")</f>
        <v>#REF!</v>
      </c>
      <c r="CJ24" t="e">
        <f>AND(#REF!,"AAAAAHvtd1c=")</f>
        <v>#REF!</v>
      </c>
      <c r="CK24" t="e">
        <f>AND(#REF!,"AAAAAHvtd1g=")</f>
        <v>#REF!</v>
      </c>
      <c r="CL24" t="e">
        <f>AND(#REF!,"AAAAAHvtd1k=")</f>
        <v>#REF!</v>
      </c>
      <c r="CM24" t="e">
        <f>AND(#REF!,"AAAAAHvtd1o=")</f>
        <v>#REF!</v>
      </c>
      <c r="CN24" t="e">
        <f>AND(#REF!,"AAAAAHvtd1s=")</f>
        <v>#REF!</v>
      </c>
      <c r="CO24" t="e">
        <f>AND(#REF!,"AAAAAHvtd1w=")</f>
        <v>#REF!</v>
      </c>
      <c r="CP24" t="e">
        <f>AND(#REF!,"AAAAAHvtd10=")</f>
        <v>#REF!</v>
      </c>
      <c r="CQ24" t="e">
        <f>AND(#REF!,"AAAAAHvtd14=")</f>
        <v>#REF!</v>
      </c>
      <c r="CR24" t="e">
        <f>AND(#REF!,"AAAAAHvtd18=")</f>
        <v>#REF!</v>
      </c>
      <c r="CS24" t="e">
        <f>IF(#REF!,"AAAAAHvtd2A=",0)</f>
        <v>#REF!</v>
      </c>
      <c r="CT24" t="e">
        <f>AND(#REF!,"AAAAAHvtd2E=")</f>
        <v>#REF!</v>
      </c>
      <c r="CU24" t="e">
        <f>AND(#REF!,"AAAAAHvtd2I=")</f>
        <v>#REF!</v>
      </c>
      <c r="CV24" t="e">
        <f>AND(#REF!,"AAAAAHvtd2M=")</f>
        <v>#REF!</v>
      </c>
      <c r="CW24" t="e">
        <f>AND(#REF!,"AAAAAHvtd2Q=")</f>
        <v>#REF!</v>
      </c>
      <c r="CX24" t="e">
        <f>AND(#REF!,"AAAAAHvtd2U=")</f>
        <v>#REF!</v>
      </c>
      <c r="CY24" t="e">
        <f>AND(#REF!,"AAAAAHvtd2Y=")</f>
        <v>#REF!</v>
      </c>
      <c r="CZ24" t="e">
        <f>AND(#REF!,"AAAAAHvtd2c=")</f>
        <v>#REF!</v>
      </c>
      <c r="DA24" t="e">
        <f>AND(#REF!,"AAAAAHvtd2g=")</f>
        <v>#REF!</v>
      </c>
      <c r="DB24" t="e">
        <f>AND(#REF!,"AAAAAHvtd2k=")</f>
        <v>#REF!</v>
      </c>
      <c r="DC24" t="e">
        <f>AND(#REF!,"AAAAAHvtd2o=")</f>
        <v>#REF!</v>
      </c>
      <c r="DD24" t="e">
        <f>AND(#REF!,"AAAAAHvtd2s=")</f>
        <v>#REF!</v>
      </c>
      <c r="DE24" t="e">
        <f>AND(#REF!,"AAAAAHvtd2w=")</f>
        <v>#REF!</v>
      </c>
      <c r="DF24" t="e">
        <f>AND(#REF!,"AAAAAHvtd20=")</f>
        <v>#REF!</v>
      </c>
      <c r="DG24" t="e">
        <f>AND(#REF!,"AAAAAHvtd24=")</f>
        <v>#REF!</v>
      </c>
      <c r="DH24" t="e">
        <f>IF(#REF!,"AAAAAHvtd28=",0)</f>
        <v>#REF!</v>
      </c>
      <c r="DI24" t="e">
        <f>AND(#REF!,"AAAAAHvtd3A=")</f>
        <v>#REF!</v>
      </c>
      <c r="DJ24" t="e">
        <f>AND(#REF!,"AAAAAHvtd3E=")</f>
        <v>#REF!</v>
      </c>
      <c r="DK24" t="e">
        <f>AND(#REF!,"AAAAAHvtd3I=")</f>
        <v>#REF!</v>
      </c>
      <c r="DL24" t="e">
        <f>AND(#REF!,"AAAAAHvtd3M=")</f>
        <v>#REF!</v>
      </c>
      <c r="DM24" t="e">
        <f>AND(#REF!,"AAAAAHvtd3Q=")</f>
        <v>#REF!</v>
      </c>
      <c r="DN24" t="e">
        <f>AND(#REF!,"AAAAAHvtd3U=")</f>
        <v>#REF!</v>
      </c>
      <c r="DO24" t="e">
        <f>AND(#REF!,"AAAAAHvtd3Y=")</f>
        <v>#REF!</v>
      </c>
      <c r="DP24" t="e">
        <f>AND(#REF!,"AAAAAHvtd3c=")</f>
        <v>#REF!</v>
      </c>
      <c r="DQ24" t="e">
        <f>AND(#REF!,"AAAAAHvtd3g=")</f>
        <v>#REF!</v>
      </c>
      <c r="DR24" t="e">
        <f>AND(#REF!,"AAAAAHvtd3k=")</f>
        <v>#REF!</v>
      </c>
      <c r="DS24" t="e">
        <f>AND(#REF!,"AAAAAHvtd3o=")</f>
        <v>#REF!</v>
      </c>
      <c r="DT24" t="e">
        <f>AND(#REF!,"AAAAAHvtd3s=")</f>
        <v>#REF!</v>
      </c>
      <c r="DU24" t="e">
        <f>AND(#REF!,"AAAAAHvtd3w=")</f>
        <v>#REF!</v>
      </c>
      <c r="DV24" t="e">
        <f>AND(#REF!,"AAAAAHvtd30=")</f>
        <v>#REF!</v>
      </c>
      <c r="DW24" t="e">
        <f>IF(#REF!,"AAAAAHvtd34=",0)</f>
        <v>#REF!</v>
      </c>
      <c r="DX24" t="e">
        <f>AND(#REF!,"AAAAAHvtd38=")</f>
        <v>#REF!</v>
      </c>
      <c r="DY24" t="e">
        <f>AND(#REF!,"AAAAAHvtd4A=")</f>
        <v>#REF!</v>
      </c>
      <c r="DZ24" t="e">
        <f>AND(#REF!,"AAAAAHvtd4E=")</f>
        <v>#REF!</v>
      </c>
      <c r="EA24" t="e">
        <f>AND(#REF!,"AAAAAHvtd4I=")</f>
        <v>#REF!</v>
      </c>
      <c r="EB24" t="e">
        <f>AND(#REF!,"AAAAAHvtd4M=")</f>
        <v>#REF!</v>
      </c>
      <c r="EC24" t="e">
        <f>AND(#REF!,"AAAAAHvtd4Q=")</f>
        <v>#REF!</v>
      </c>
      <c r="ED24" t="e">
        <f>AND(#REF!,"AAAAAHvtd4U=")</f>
        <v>#REF!</v>
      </c>
      <c r="EE24" t="e">
        <f>AND(#REF!,"AAAAAHvtd4Y=")</f>
        <v>#REF!</v>
      </c>
      <c r="EF24" t="e">
        <f>AND(#REF!,"AAAAAHvtd4c=")</f>
        <v>#REF!</v>
      </c>
      <c r="EG24" t="e">
        <f>AND(#REF!,"AAAAAHvtd4g=")</f>
        <v>#REF!</v>
      </c>
      <c r="EH24" t="e">
        <f>AND(#REF!,"AAAAAHvtd4k=")</f>
        <v>#REF!</v>
      </c>
      <c r="EI24" t="e">
        <f>AND(#REF!,"AAAAAHvtd4o=")</f>
        <v>#REF!</v>
      </c>
      <c r="EJ24" t="e">
        <f>AND(#REF!,"AAAAAHvtd4s=")</f>
        <v>#REF!</v>
      </c>
      <c r="EK24" t="e">
        <f>AND(#REF!,"AAAAAHvtd4w=")</f>
        <v>#REF!</v>
      </c>
      <c r="EL24" t="e">
        <f>IF(#REF!,"AAAAAHvtd40=",0)</f>
        <v>#REF!</v>
      </c>
      <c r="EM24" t="e">
        <f>AND(#REF!,"AAAAAHvtd44=")</f>
        <v>#REF!</v>
      </c>
      <c r="EN24" t="e">
        <f>AND(#REF!,"AAAAAHvtd48=")</f>
        <v>#REF!</v>
      </c>
      <c r="EO24" t="e">
        <f>AND(#REF!,"AAAAAHvtd5A=")</f>
        <v>#REF!</v>
      </c>
      <c r="EP24" t="e">
        <f>AND(#REF!,"AAAAAHvtd5E=")</f>
        <v>#REF!</v>
      </c>
      <c r="EQ24" t="e">
        <f>AND(#REF!,"AAAAAHvtd5I=")</f>
        <v>#REF!</v>
      </c>
      <c r="ER24" t="e">
        <f>AND(#REF!,"AAAAAHvtd5M=")</f>
        <v>#REF!</v>
      </c>
      <c r="ES24" t="e">
        <f>AND(#REF!,"AAAAAHvtd5Q=")</f>
        <v>#REF!</v>
      </c>
      <c r="ET24" t="e">
        <f>AND(#REF!,"AAAAAHvtd5U=")</f>
        <v>#REF!</v>
      </c>
      <c r="EU24" t="e">
        <f>AND(#REF!,"AAAAAHvtd5Y=")</f>
        <v>#REF!</v>
      </c>
      <c r="EV24" t="e">
        <f>AND(#REF!,"AAAAAHvtd5c=")</f>
        <v>#REF!</v>
      </c>
      <c r="EW24" t="e">
        <f>AND(#REF!,"AAAAAHvtd5g=")</f>
        <v>#REF!</v>
      </c>
      <c r="EX24" t="e">
        <f>AND(#REF!,"AAAAAHvtd5k=")</f>
        <v>#REF!</v>
      </c>
      <c r="EY24" t="e">
        <f>AND(#REF!,"AAAAAHvtd5o=")</f>
        <v>#REF!</v>
      </c>
      <c r="EZ24" t="e">
        <f>AND(#REF!,"AAAAAHvtd5s=")</f>
        <v>#REF!</v>
      </c>
      <c r="FA24" t="e">
        <f>IF(#REF!,"AAAAAHvtd5w=",0)</f>
        <v>#REF!</v>
      </c>
      <c r="FB24" t="e">
        <f>AND(#REF!,"AAAAAHvtd50=")</f>
        <v>#REF!</v>
      </c>
      <c r="FC24" t="e">
        <f>AND(#REF!,"AAAAAHvtd54=")</f>
        <v>#REF!</v>
      </c>
      <c r="FD24" t="e">
        <f>AND(#REF!,"AAAAAHvtd58=")</f>
        <v>#REF!</v>
      </c>
      <c r="FE24" t="e">
        <f>AND(#REF!,"AAAAAHvtd6A=")</f>
        <v>#REF!</v>
      </c>
      <c r="FF24" t="e">
        <f>AND(#REF!,"AAAAAHvtd6E=")</f>
        <v>#REF!</v>
      </c>
      <c r="FG24" t="e">
        <f>AND(#REF!,"AAAAAHvtd6I=")</f>
        <v>#REF!</v>
      </c>
      <c r="FH24" t="e">
        <f>AND(#REF!,"AAAAAHvtd6M=")</f>
        <v>#REF!</v>
      </c>
      <c r="FI24" t="e">
        <f>AND(#REF!,"AAAAAHvtd6Q=")</f>
        <v>#REF!</v>
      </c>
      <c r="FJ24" t="e">
        <f>AND(#REF!,"AAAAAHvtd6U=")</f>
        <v>#REF!</v>
      </c>
      <c r="FK24" t="e">
        <f>AND(#REF!,"AAAAAHvtd6Y=")</f>
        <v>#REF!</v>
      </c>
      <c r="FL24" t="e">
        <f>AND(#REF!,"AAAAAHvtd6c=")</f>
        <v>#REF!</v>
      </c>
      <c r="FM24" t="e">
        <f>AND(#REF!,"AAAAAHvtd6g=")</f>
        <v>#REF!</v>
      </c>
      <c r="FN24" t="e">
        <f>AND(#REF!,"AAAAAHvtd6k=")</f>
        <v>#REF!</v>
      </c>
      <c r="FO24" t="e">
        <f>AND(#REF!,"AAAAAHvtd6o=")</f>
        <v>#REF!</v>
      </c>
      <c r="FP24" t="e">
        <f>IF(#REF!,"AAAAAHvtd6s=",0)</f>
        <v>#REF!</v>
      </c>
      <c r="FQ24" t="e">
        <f>AND(#REF!,"AAAAAHvtd6w=")</f>
        <v>#REF!</v>
      </c>
      <c r="FR24" t="e">
        <f>AND(#REF!,"AAAAAHvtd60=")</f>
        <v>#REF!</v>
      </c>
      <c r="FS24" t="e">
        <f>AND(#REF!,"AAAAAHvtd64=")</f>
        <v>#REF!</v>
      </c>
      <c r="FT24" t="e">
        <f>AND(#REF!,"AAAAAHvtd68=")</f>
        <v>#REF!</v>
      </c>
      <c r="FU24" t="e">
        <f>AND(#REF!,"AAAAAHvtd7A=")</f>
        <v>#REF!</v>
      </c>
      <c r="FV24" t="e">
        <f>AND(#REF!,"AAAAAHvtd7E=")</f>
        <v>#REF!</v>
      </c>
      <c r="FW24" t="e">
        <f>AND(#REF!,"AAAAAHvtd7I=")</f>
        <v>#REF!</v>
      </c>
      <c r="FX24" t="e">
        <f>AND(#REF!,"AAAAAHvtd7M=")</f>
        <v>#REF!</v>
      </c>
      <c r="FY24" t="e">
        <f>AND(#REF!,"AAAAAHvtd7Q=")</f>
        <v>#REF!</v>
      </c>
      <c r="FZ24" t="e">
        <f>AND(#REF!,"AAAAAHvtd7U=")</f>
        <v>#REF!</v>
      </c>
      <c r="GA24" t="e">
        <f>AND(#REF!,"AAAAAHvtd7Y=")</f>
        <v>#REF!</v>
      </c>
      <c r="GB24" t="e">
        <f>AND(#REF!,"AAAAAHvtd7c=")</f>
        <v>#REF!</v>
      </c>
      <c r="GC24" t="e">
        <f>AND(#REF!,"AAAAAHvtd7g=")</f>
        <v>#REF!</v>
      </c>
      <c r="GD24" t="e">
        <f>AND(#REF!,"AAAAAHvtd7k=")</f>
        <v>#REF!</v>
      </c>
      <c r="GE24" t="e">
        <f>IF(#REF!,"AAAAAHvtd7o=",0)</f>
        <v>#REF!</v>
      </c>
      <c r="GF24" t="e">
        <f>AND(#REF!,"AAAAAHvtd7s=")</f>
        <v>#REF!</v>
      </c>
      <c r="GG24" t="e">
        <f>AND(#REF!,"AAAAAHvtd7w=")</f>
        <v>#REF!</v>
      </c>
      <c r="GH24" t="e">
        <f>AND(#REF!,"AAAAAHvtd70=")</f>
        <v>#REF!</v>
      </c>
      <c r="GI24" t="e">
        <f>AND(#REF!,"AAAAAHvtd74=")</f>
        <v>#REF!</v>
      </c>
      <c r="GJ24" t="e">
        <f>AND(#REF!,"AAAAAHvtd78=")</f>
        <v>#REF!</v>
      </c>
      <c r="GK24" t="e">
        <f>AND(#REF!,"AAAAAHvtd8A=")</f>
        <v>#REF!</v>
      </c>
      <c r="GL24" t="e">
        <f>AND(#REF!,"AAAAAHvtd8E=")</f>
        <v>#REF!</v>
      </c>
      <c r="GM24" t="e">
        <f>AND(#REF!,"AAAAAHvtd8I=")</f>
        <v>#REF!</v>
      </c>
      <c r="GN24" t="e">
        <f>AND(#REF!,"AAAAAHvtd8M=")</f>
        <v>#REF!</v>
      </c>
      <c r="GO24" t="e">
        <f>AND(#REF!,"AAAAAHvtd8Q=")</f>
        <v>#REF!</v>
      </c>
      <c r="GP24" t="e">
        <f>AND(#REF!,"AAAAAHvtd8U=")</f>
        <v>#REF!</v>
      </c>
      <c r="GQ24" t="e">
        <f>AND(#REF!,"AAAAAHvtd8Y=")</f>
        <v>#REF!</v>
      </c>
      <c r="GR24" t="e">
        <f>AND(#REF!,"AAAAAHvtd8c=")</f>
        <v>#REF!</v>
      </c>
      <c r="GS24" t="e">
        <f>AND(#REF!,"AAAAAHvtd8g=")</f>
        <v>#REF!</v>
      </c>
      <c r="GT24" t="e">
        <f>IF(#REF!,"AAAAAHvtd8k=",0)</f>
        <v>#REF!</v>
      </c>
      <c r="GU24" t="e">
        <f>AND(#REF!,"AAAAAHvtd8o=")</f>
        <v>#REF!</v>
      </c>
      <c r="GV24" t="e">
        <f>AND(#REF!,"AAAAAHvtd8s=")</f>
        <v>#REF!</v>
      </c>
      <c r="GW24" t="e">
        <f>AND(#REF!,"AAAAAHvtd8w=")</f>
        <v>#REF!</v>
      </c>
      <c r="GX24" t="e">
        <f>AND(#REF!,"AAAAAHvtd80=")</f>
        <v>#REF!</v>
      </c>
      <c r="GY24" t="e">
        <f>AND(#REF!,"AAAAAHvtd84=")</f>
        <v>#REF!</v>
      </c>
      <c r="GZ24" t="e">
        <f>AND(#REF!,"AAAAAHvtd88=")</f>
        <v>#REF!</v>
      </c>
      <c r="HA24" t="e">
        <f>AND(#REF!,"AAAAAHvtd9A=")</f>
        <v>#REF!</v>
      </c>
      <c r="HB24" t="e">
        <f>AND(#REF!,"AAAAAHvtd9E=")</f>
        <v>#REF!</v>
      </c>
      <c r="HC24" t="e">
        <f>AND(#REF!,"AAAAAHvtd9I=")</f>
        <v>#REF!</v>
      </c>
      <c r="HD24" t="e">
        <f>AND(#REF!,"AAAAAHvtd9M=")</f>
        <v>#REF!</v>
      </c>
      <c r="HE24" t="e">
        <f>AND(#REF!,"AAAAAHvtd9Q=")</f>
        <v>#REF!</v>
      </c>
      <c r="HF24" t="e">
        <f>AND(#REF!,"AAAAAHvtd9U=")</f>
        <v>#REF!</v>
      </c>
      <c r="HG24" t="e">
        <f>AND(#REF!,"AAAAAHvtd9Y=")</f>
        <v>#REF!</v>
      </c>
      <c r="HH24" t="e">
        <f>AND(#REF!,"AAAAAHvtd9c=")</f>
        <v>#REF!</v>
      </c>
      <c r="HI24" t="e">
        <f>IF(#REF!,"AAAAAHvtd9g=",0)</f>
        <v>#REF!</v>
      </c>
      <c r="HJ24" t="e">
        <f>AND(#REF!,"AAAAAHvtd9k=")</f>
        <v>#REF!</v>
      </c>
      <c r="HK24" t="e">
        <f>AND(#REF!,"AAAAAHvtd9o=")</f>
        <v>#REF!</v>
      </c>
      <c r="HL24" t="e">
        <f>AND(#REF!,"AAAAAHvtd9s=")</f>
        <v>#REF!</v>
      </c>
      <c r="HM24" t="e">
        <f>AND(#REF!,"AAAAAHvtd9w=")</f>
        <v>#REF!</v>
      </c>
      <c r="HN24" t="e">
        <f>AND(#REF!,"AAAAAHvtd90=")</f>
        <v>#REF!</v>
      </c>
      <c r="HO24" t="e">
        <f>AND(#REF!,"AAAAAHvtd94=")</f>
        <v>#REF!</v>
      </c>
      <c r="HP24" t="e">
        <f>AND(#REF!,"AAAAAHvtd98=")</f>
        <v>#REF!</v>
      </c>
      <c r="HQ24" t="e">
        <f>AND(#REF!,"AAAAAHvtd+A=")</f>
        <v>#REF!</v>
      </c>
      <c r="HR24" t="e">
        <f>AND(#REF!,"AAAAAHvtd+E=")</f>
        <v>#REF!</v>
      </c>
      <c r="HS24" t="e">
        <f>AND(#REF!,"AAAAAHvtd+I=")</f>
        <v>#REF!</v>
      </c>
      <c r="HT24" t="e">
        <f>AND(#REF!,"AAAAAHvtd+M=")</f>
        <v>#REF!</v>
      </c>
      <c r="HU24" t="e">
        <f>AND(#REF!,"AAAAAHvtd+Q=")</f>
        <v>#REF!</v>
      </c>
      <c r="HV24" t="e">
        <f>AND(#REF!,"AAAAAHvtd+U=")</f>
        <v>#REF!</v>
      </c>
      <c r="HW24" t="e">
        <f>AND(#REF!,"AAAAAHvtd+Y=")</f>
        <v>#REF!</v>
      </c>
      <c r="HX24" t="e">
        <f>IF(#REF!,"AAAAAHvtd+c=",0)</f>
        <v>#REF!</v>
      </c>
      <c r="HY24" t="e">
        <f>AND(#REF!,"AAAAAHvtd+g=")</f>
        <v>#REF!</v>
      </c>
      <c r="HZ24" t="e">
        <f>AND(#REF!,"AAAAAHvtd+k=")</f>
        <v>#REF!</v>
      </c>
      <c r="IA24" t="e">
        <f>AND(#REF!,"AAAAAHvtd+o=")</f>
        <v>#REF!</v>
      </c>
      <c r="IB24" t="e">
        <f>AND(#REF!,"AAAAAHvtd+s=")</f>
        <v>#REF!</v>
      </c>
      <c r="IC24" t="e">
        <f>AND(#REF!,"AAAAAHvtd+w=")</f>
        <v>#REF!</v>
      </c>
      <c r="ID24" t="e">
        <f>AND(#REF!,"AAAAAHvtd+0=")</f>
        <v>#REF!</v>
      </c>
      <c r="IE24" t="e">
        <f>AND(#REF!,"AAAAAHvtd+4=")</f>
        <v>#REF!</v>
      </c>
      <c r="IF24" t="e">
        <f>AND(#REF!,"AAAAAHvtd+8=")</f>
        <v>#REF!</v>
      </c>
      <c r="IG24" t="e">
        <f>AND(#REF!,"AAAAAHvtd/A=")</f>
        <v>#REF!</v>
      </c>
      <c r="IH24" t="e">
        <f>AND(#REF!,"AAAAAHvtd/E=")</f>
        <v>#REF!</v>
      </c>
      <c r="II24" t="e">
        <f>AND(#REF!,"AAAAAHvtd/I=")</f>
        <v>#REF!</v>
      </c>
      <c r="IJ24" t="e">
        <f>AND(#REF!,"AAAAAHvtd/M=")</f>
        <v>#REF!</v>
      </c>
      <c r="IK24" t="e">
        <f>AND(#REF!,"AAAAAHvtd/Q=")</f>
        <v>#REF!</v>
      </c>
      <c r="IL24" t="e">
        <f>AND(#REF!,"AAAAAHvtd/U=")</f>
        <v>#REF!</v>
      </c>
      <c r="IM24" t="e">
        <f>IF(#REF!,"AAAAAHvtd/Y=",0)</f>
        <v>#REF!</v>
      </c>
      <c r="IN24" t="e">
        <f>AND(#REF!,"AAAAAHvtd/c=")</f>
        <v>#REF!</v>
      </c>
      <c r="IO24" t="e">
        <f>AND(#REF!,"AAAAAHvtd/g=")</f>
        <v>#REF!</v>
      </c>
      <c r="IP24" t="e">
        <f>AND(#REF!,"AAAAAHvtd/k=")</f>
        <v>#REF!</v>
      </c>
      <c r="IQ24" t="e">
        <f>AND(#REF!,"AAAAAHvtd/o=")</f>
        <v>#REF!</v>
      </c>
      <c r="IR24" t="e">
        <f>AND(#REF!,"AAAAAHvtd/s=")</f>
        <v>#REF!</v>
      </c>
      <c r="IS24" t="e">
        <f>AND(#REF!,"AAAAAHvtd/w=")</f>
        <v>#REF!</v>
      </c>
      <c r="IT24" t="e">
        <f>AND(#REF!,"AAAAAHvtd/0=")</f>
        <v>#REF!</v>
      </c>
      <c r="IU24" t="e">
        <f>AND(#REF!,"AAAAAHvtd/4=")</f>
        <v>#REF!</v>
      </c>
      <c r="IV24" t="e">
        <f>AND(#REF!,"AAAAAHvtd/8=")</f>
        <v>#REF!</v>
      </c>
    </row>
    <row r="25" spans="1:256" x14ac:dyDescent="0.25">
      <c r="A25" t="e">
        <f>AND(#REF!,"AAAAAH9d6QA=")</f>
        <v>#REF!</v>
      </c>
      <c r="B25" t="e">
        <f>AND(#REF!,"AAAAAH9d6QE=")</f>
        <v>#REF!</v>
      </c>
      <c r="C25" t="e">
        <f>AND(#REF!,"AAAAAH9d6QI=")</f>
        <v>#REF!</v>
      </c>
      <c r="D25" t="e">
        <f>AND(#REF!,"AAAAAH9d6QM=")</f>
        <v>#REF!</v>
      </c>
      <c r="E25" t="e">
        <f>AND(#REF!,"AAAAAH9d6QQ=")</f>
        <v>#REF!</v>
      </c>
      <c r="F25" t="e">
        <f>IF(#REF!,"AAAAAH9d6QU=",0)</f>
        <v>#REF!</v>
      </c>
      <c r="G25" t="e">
        <f>AND(#REF!,"AAAAAH9d6QY=")</f>
        <v>#REF!</v>
      </c>
      <c r="H25" t="e">
        <f>AND(#REF!,"AAAAAH9d6Qc=")</f>
        <v>#REF!</v>
      </c>
      <c r="I25" t="e">
        <f>AND(#REF!,"AAAAAH9d6Qg=")</f>
        <v>#REF!</v>
      </c>
      <c r="J25" t="e">
        <f>AND(#REF!,"AAAAAH9d6Qk=")</f>
        <v>#REF!</v>
      </c>
      <c r="K25" t="e">
        <f>AND(#REF!,"AAAAAH9d6Qo=")</f>
        <v>#REF!</v>
      </c>
      <c r="L25" t="e">
        <f>AND(#REF!,"AAAAAH9d6Qs=")</f>
        <v>#REF!</v>
      </c>
      <c r="M25" t="e">
        <f>AND(#REF!,"AAAAAH9d6Qw=")</f>
        <v>#REF!</v>
      </c>
      <c r="N25" t="e">
        <f>AND(#REF!,"AAAAAH9d6Q0=")</f>
        <v>#REF!</v>
      </c>
      <c r="O25" t="e">
        <f>AND(#REF!,"AAAAAH9d6Q4=")</f>
        <v>#REF!</v>
      </c>
      <c r="P25" t="e">
        <f>AND(#REF!,"AAAAAH9d6Q8=")</f>
        <v>#REF!</v>
      </c>
      <c r="Q25" t="e">
        <f>AND(#REF!,"AAAAAH9d6RA=")</f>
        <v>#REF!</v>
      </c>
      <c r="R25" t="e">
        <f>AND(#REF!,"AAAAAH9d6RE=")</f>
        <v>#REF!</v>
      </c>
      <c r="S25" t="e">
        <f>AND(#REF!,"AAAAAH9d6RI=")</f>
        <v>#REF!</v>
      </c>
      <c r="T25" t="e">
        <f>AND(#REF!,"AAAAAH9d6RM=")</f>
        <v>#REF!</v>
      </c>
      <c r="U25" t="e">
        <f>IF(#REF!,"AAAAAH9d6RQ=",0)</f>
        <v>#REF!</v>
      </c>
      <c r="V25" t="e">
        <f>AND(#REF!,"AAAAAH9d6RU=")</f>
        <v>#REF!</v>
      </c>
      <c r="W25" t="e">
        <f>AND(#REF!,"AAAAAH9d6RY=")</f>
        <v>#REF!</v>
      </c>
      <c r="X25" t="e">
        <f>AND(#REF!,"AAAAAH9d6Rc=")</f>
        <v>#REF!</v>
      </c>
      <c r="Y25" t="e">
        <f>AND(#REF!,"AAAAAH9d6Rg=")</f>
        <v>#REF!</v>
      </c>
      <c r="Z25" t="e">
        <f>AND(#REF!,"AAAAAH9d6Rk=")</f>
        <v>#REF!</v>
      </c>
      <c r="AA25" t="e">
        <f>AND(#REF!,"AAAAAH9d6Ro=")</f>
        <v>#REF!</v>
      </c>
      <c r="AB25" t="e">
        <f>AND(#REF!,"AAAAAH9d6Rs=")</f>
        <v>#REF!</v>
      </c>
      <c r="AC25" t="e">
        <f>AND(#REF!,"AAAAAH9d6Rw=")</f>
        <v>#REF!</v>
      </c>
      <c r="AD25" t="e">
        <f>AND(#REF!,"AAAAAH9d6R0=")</f>
        <v>#REF!</v>
      </c>
      <c r="AE25" t="e">
        <f>AND(#REF!,"AAAAAH9d6R4=")</f>
        <v>#REF!</v>
      </c>
      <c r="AF25" t="e">
        <f>AND(#REF!,"AAAAAH9d6R8=")</f>
        <v>#REF!</v>
      </c>
      <c r="AG25" t="e">
        <f>AND(#REF!,"AAAAAH9d6SA=")</f>
        <v>#REF!</v>
      </c>
      <c r="AH25" t="e">
        <f>AND(#REF!,"AAAAAH9d6SE=")</f>
        <v>#REF!</v>
      </c>
      <c r="AI25" t="e">
        <f>AND(#REF!,"AAAAAH9d6SI=")</f>
        <v>#REF!</v>
      </c>
      <c r="AJ25" t="e">
        <f>IF(#REF!,"AAAAAH9d6SM=",0)</f>
        <v>#REF!</v>
      </c>
      <c r="AK25" t="e">
        <f>AND(#REF!,"AAAAAH9d6SQ=")</f>
        <v>#REF!</v>
      </c>
      <c r="AL25" t="e">
        <f>AND(#REF!,"AAAAAH9d6SU=")</f>
        <v>#REF!</v>
      </c>
      <c r="AM25" t="e">
        <f>AND(#REF!,"AAAAAH9d6SY=")</f>
        <v>#REF!</v>
      </c>
      <c r="AN25" t="e">
        <f>AND(#REF!,"AAAAAH9d6Sc=")</f>
        <v>#REF!</v>
      </c>
      <c r="AO25" t="e">
        <f>AND(#REF!,"AAAAAH9d6Sg=")</f>
        <v>#REF!</v>
      </c>
      <c r="AP25" t="e">
        <f>AND(#REF!,"AAAAAH9d6Sk=")</f>
        <v>#REF!</v>
      </c>
      <c r="AQ25" t="e">
        <f>AND(#REF!,"AAAAAH9d6So=")</f>
        <v>#REF!</v>
      </c>
      <c r="AR25" t="e">
        <f>AND(#REF!,"AAAAAH9d6Ss=")</f>
        <v>#REF!</v>
      </c>
      <c r="AS25" t="e">
        <f>AND(#REF!,"AAAAAH9d6Sw=")</f>
        <v>#REF!</v>
      </c>
      <c r="AT25" t="e">
        <f>AND(#REF!,"AAAAAH9d6S0=")</f>
        <v>#REF!</v>
      </c>
      <c r="AU25" t="e">
        <f>AND(#REF!,"AAAAAH9d6S4=")</f>
        <v>#REF!</v>
      </c>
      <c r="AV25" t="e">
        <f>AND(#REF!,"AAAAAH9d6S8=")</f>
        <v>#REF!</v>
      </c>
      <c r="AW25" t="e">
        <f>AND(#REF!,"AAAAAH9d6TA=")</f>
        <v>#REF!</v>
      </c>
      <c r="AX25" t="e">
        <f>AND(#REF!,"AAAAAH9d6TE=")</f>
        <v>#REF!</v>
      </c>
      <c r="AY25" t="e">
        <f>IF(#REF!,"AAAAAH9d6TI=",0)</f>
        <v>#REF!</v>
      </c>
      <c r="AZ25" t="e">
        <f>AND(#REF!,"AAAAAH9d6TM=")</f>
        <v>#REF!</v>
      </c>
      <c r="BA25" t="e">
        <f>AND(#REF!,"AAAAAH9d6TQ=")</f>
        <v>#REF!</v>
      </c>
      <c r="BB25" t="e">
        <f>AND(#REF!,"AAAAAH9d6TU=")</f>
        <v>#REF!</v>
      </c>
      <c r="BC25" t="e">
        <f>AND(#REF!,"AAAAAH9d6TY=")</f>
        <v>#REF!</v>
      </c>
      <c r="BD25" t="e">
        <f>AND(#REF!,"AAAAAH9d6Tc=")</f>
        <v>#REF!</v>
      </c>
      <c r="BE25" t="e">
        <f>AND(#REF!,"AAAAAH9d6Tg=")</f>
        <v>#REF!</v>
      </c>
      <c r="BF25" t="e">
        <f>AND(#REF!,"AAAAAH9d6Tk=")</f>
        <v>#REF!</v>
      </c>
      <c r="BG25" t="e">
        <f>AND(#REF!,"AAAAAH9d6To=")</f>
        <v>#REF!</v>
      </c>
      <c r="BH25" t="e">
        <f>AND(#REF!,"AAAAAH9d6Ts=")</f>
        <v>#REF!</v>
      </c>
      <c r="BI25" t="e">
        <f>AND(#REF!,"AAAAAH9d6Tw=")</f>
        <v>#REF!</v>
      </c>
      <c r="BJ25" t="e">
        <f>AND(#REF!,"AAAAAH9d6T0=")</f>
        <v>#REF!</v>
      </c>
      <c r="BK25" t="e">
        <f>AND(#REF!,"AAAAAH9d6T4=")</f>
        <v>#REF!</v>
      </c>
      <c r="BL25" t="e">
        <f>AND(#REF!,"AAAAAH9d6T8=")</f>
        <v>#REF!</v>
      </c>
      <c r="BM25" t="e">
        <f>AND(#REF!,"AAAAAH9d6UA=")</f>
        <v>#REF!</v>
      </c>
      <c r="BN25" t="e">
        <f>IF(#REF!,"AAAAAH9d6UE=",0)</f>
        <v>#REF!</v>
      </c>
      <c r="BO25" t="e">
        <f>AND(#REF!,"AAAAAH9d6UI=")</f>
        <v>#REF!</v>
      </c>
      <c r="BP25" t="e">
        <f>AND(#REF!,"AAAAAH9d6UM=")</f>
        <v>#REF!</v>
      </c>
      <c r="BQ25" t="e">
        <f>AND(#REF!,"AAAAAH9d6UQ=")</f>
        <v>#REF!</v>
      </c>
      <c r="BR25" t="e">
        <f>AND(#REF!,"AAAAAH9d6UU=")</f>
        <v>#REF!</v>
      </c>
      <c r="BS25" t="e">
        <f>AND(#REF!,"AAAAAH9d6UY=")</f>
        <v>#REF!</v>
      </c>
      <c r="BT25" t="e">
        <f>AND(#REF!,"AAAAAH9d6Uc=")</f>
        <v>#REF!</v>
      </c>
      <c r="BU25" t="e">
        <f>AND(#REF!,"AAAAAH9d6Ug=")</f>
        <v>#REF!</v>
      </c>
      <c r="BV25" t="e">
        <f>AND(#REF!,"AAAAAH9d6Uk=")</f>
        <v>#REF!</v>
      </c>
      <c r="BW25" t="e">
        <f>AND(#REF!,"AAAAAH9d6Uo=")</f>
        <v>#REF!</v>
      </c>
      <c r="BX25" t="e">
        <f>AND(#REF!,"AAAAAH9d6Us=")</f>
        <v>#REF!</v>
      </c>
      <c r="BY25" t="e">
        <f>AND(#REF!,"AAAAAH9d6Uw=")</f>
        <v>#REF!</v>
      </c>
      <c r="BZ25" t="e">
        <f>AND(#REF!,"AAAAAH9d6U0=")</f>
        <v>#REF!</v>
      </c>
      <c r="CA25" t="e">
        <f>AND(#REF!,"AAAAAH9d6U4=")</f>
        <v>#REF!</v>
      </c>
      <c r="CB25" t="e">
        <f>AND(#REF!,"AAAAAH9d6U8=")</f>
        <v>#REF!</v>
      </c>
      <c r="CC25" t="e">
        <f>IF(#REF!,"AAAAAH9d6VA=",0)</f>
        <v>#REF!</v>
      </c>
      <c r="CD25" t="e">
        <f>AND(#REF!,"AAAAAH9d6VE=")</f>
        <v>#REF!</v>
      </c>
      <c r="CE25" t="e">
        <f>AND(#REF!,"AAAAAH9d6VI=")</f>
        <v>#REF!</v>
      </c>
      <c r="CF25" t="e">
        <f>AND(#REF!,"AAAAAH9d6VM=")</f>
        <v>#REF!</v>
      </c>
      <c r="CG25" t="e">
        <f>AND(#REF!,"AAAAAH9d6VQ=")</f>
        <v>#REF!</v>
      </c>
      <c r="CH25" t="e">
        <f>AND(#REF!,"AAAAAH9d6VU=")</f>
        <v>#REF!</v>
      </c>
      <c r="CI25" t="e">
        <f>AND(#REF!,"AAAAAH9d6VY=")</f>
        <v>#REF!</v>
      </c>
      <c r="CJ25" t="e">
        <f>AND(#REF!,"AAAAAH9d6Vc=")</f>
        <v>#REF!</v>
      </c>
      <c r="CK25" t="e">
        <f>AND(#REF!,"AAAAAH9d6Vg=")</f>
        <v>#REF!</v>
      </c>
      <c r="CL25" t="e">
        <f>AND(#REF!,"AAAAAH9d6Vk=")</f>
        <v>#REF!</v>
      </c>
      <c r="CM25" t="e">
        <f>AND(#REF!,"AAAAAH9d6Vo=")</f>
        <v>#REF!</v>
      </c>
      <c r="CN25" t="e">
        <f>AND(#REF!,"AAAAAH9d6Vs=")</f>
        <v>#REF!</v>
      </c>
      <c r="CO25" t="e">
        <f>AND(#REF!,"AAAAAH9d6Vw=")</f>
        <v>#REF!</v>
      </c>
      <c r="CP25" t="e">
        <f>AND(#REF!,"AAAAAH9d6V0=")</f>
        <v>#REF!</v>
      </c>
      <c r="CQ25" t="e">
        <f>AND(#REF!,"AAAAAH9d6V4=")</f>
        <v>#REF!</v>
      </c>
      <c r="CR25" t="e">
        <f>IF(#REF!,"AAAAAH9d6V8=",0)</f>
        <v>#REF!</v>
      </c>
      <c r="CS25" t="e">
        <f>AND(#REF!,"AAAAAH9d6WA=")</f>
        <v>#REF!</v>
      </c>
      <c r="CT25" t="e">
        <f>AND(#REF!,"AAAAAH9d6WE=")</f>
        <v>#REF!</v>
      </c>
      <c r="CU25" t="e">
        <f>AND(#REF!,"AAAAAH9d6WI=")</f>
        <v>#REF!</v>
      </c>
      <c r="CV25" t="e">
        <f>AND(#REF!,"AAAAAH9d6WM=")</f>
        <v>#REF!</v>
      </c>
      <c r="CW25" t="e">
        <f>AND(#REF!,"AAAAAH9d6WQ=")</f>
        <v>#REF!</v>
      </c>
      <c r="CX25" t="e">
        <f>AND(#REF!,"AAAAAH9d6WU=")</f>
        <v>#REF!</v>
      </c>
      <c r="CY25" t="e">
        <f>AND(#REF!,"AAAAAH9d6WY=")</f>
        <v>#REF!</v>
      </c>
      <c r="CZ25" t="e">
        <f>AND(#REF!,"AAAAAH9d6Wc=")</f>
        <v>#REF!</v>
      </c>
      <c r="DA25" t="e">
        <f>AND(#REF!,"AAAAAH9d6Wg=")</f>
        <v>#REF!</v>
      </c>
      <c r="DB25" t="e">
        <f>AND(#REF!,"AAAAAH9d6Wk=")</f>
        <v>#REF!</v>
      </c>
      <c r="DC25" t="e">
        <f>AND(#REF!,"AAAAAH9d6Wo=")</f>
        <v>#REF!</v>
      </c>
      <c r="DD25" t="e">
        <f>AND(#REF!,"AAAAAH9d6Ws=")</f>
        <v>#REF!</v>
      </c>
      <c r="DE25" t="e">
        <f>AND(#REF!,"AAAAAH9d6Ww=")</f>
        <v>#REF!</v>
      </c>
      <c r="DF25" t="e">
        <f>AND(#REF!,"AAAAAH9d6W0=")</f>
        <v>#REF!</v>
      </c>
      <c r="DG25" t="e">
        <f>IF(#REF!,"AAAAAH9d6W4=",0)</f>
        <v>#REF!</v>
      </c>
      <c r="DH25" t="e">
        <f>AND(#REF!,"AAAAAH9d6W8=")</f>
        <v>#REF!</v>
      </c>
      <c r="DI25" t="e">
        <f>AND(#REF!,"AAAAAH9d6XA=")</f>
        <v>#REF!</v>
      </c>
      <c r="DJ25" t="e">
        <f>AND(#REF!,"AAAAAH9d6XE=")</f>
        <v>#REF!</v>
      </c>
      <c r="DK25" t="e">
        <f>AND(#REF!,"AAAAAH9d6XI=")</f>
        <v>#REF!</v>
      </c>
      <c r="DL25" t="e">
        <f>AND(#REF!,"AAAAAH9d6XM=")</f>
        <v>#REF!</v>
      </c>
      <c r="DM25" t="e">
        <f>AND(#REF!,"AAAAAH9d6XQ=")</f>
        <v>#REF!</v>
      </c>
      <c r="DN25" t="e">
        <f>AND(#REF!,"AAAAAH9d6XU=")</f>
        <v>#REF!</v>
      </c>
      <c r="DO25" t="e">
        <f>AND(#REF!,"AAAAAH9d6XY=")</f>
        <v>#REF!</v>
      </c>
      <c r="DP25" t="e">
        <f>AND(#REF!,"AAAAAH9d6Xc=")</f>
        <v>#REF!</v>
      </c>
      <c r="DQ25" t="e">
        <f>AND(#REF!,"AAAAAH9d6Xg=")</f>
        <v>#REF!</v>
      </c>
      <c r="DR25" t="e">
        <f>AND(#REF!,"AAAAAH9d6Xk=")</f>
        <v>#REF!</v>
      </c>
      <c r="DS25" t="e">
        <f>AND(#REF!,"AAAAAH9d6Xo=")</f>
        <v>#REF!</v>
      </c>
      <c r="DT25" t="e">
        <f>AND(#REF!,"AAAAAH9d6Xs=")</f>
        <v>#REF!</v>
      </c>
      <c r="DU25" t="e">
        <f>AND(#REF!,"AAAAAH9d6Xw=")</f>
        <v>#REF!</v>
      </c>
      <c r="DV25" t="e">
        <f>IF(#REF!,"AAAAAH9d6X0=",0)</f>
        <v>#REF!</v>
      </c>
      <c r="DW25" t="e">
        <f>AND(#REF!,"AAAAAH9d6X4=")</f>
        <v>#REF!</v>
      </c>
      <c r="DX25" t="e">
        <f>AND(#REF!,"AAAAAH9d6X8=")</f>
        <v>#REF!</v>
      </c>
      <c r="DY25" t="e">
        <f>AND(#REF!,"AAAAAH9d6YA=")</f>
        <v>#REF!</v>
      </c>
      <c r="DZ25" t="e">
        <f>AND(#REF!,"AAAAAH9d6YE=")</f>
        <v>#REF!</v>
      </c>
      <c r="EA25" t="e">
        <f>AND(#REF!,"AAAAAH9d6YI=")</f>
        <v>#REF!</v>
      </c>
      <c r="EB25" t="e">
        <f>AND(#REF!,"AAAAAH9d6YM=")</f>
        <v>#REF!</v>
      </c>
      <c r="EC25" t="e">
        <f>AND(#REF!,"AAAAAH9d6YQ=")</f>
        <v>#REF!</v>
      </c>
      <c r="ED25" t="e">
        <f>AND(#REF!,"AAAAAH9d6YU=")</f>
        <v>#REF!</v>
      </c>
      <c r="EE25" t="e">
        <f>AND(#REF!,"AAAAAH9d6YY=")</f>
        <v>#REF!</v>
      </c>
      <c r="EF25" t="e">
        <f>AND(#REF!,"AAAAAH9d6Yc=")</f>
        <v>#REF!</v>
      </c>
      <c r="EG25" t="e">
        <f>AND(#REF!,"AAAAAH9d6Yg=")</f>
        <v>#REF!</v>
      </c>
      <c r="EH25" t="e">
        <f>AND(#REF!,"AAAAAH9d6Yk=")</f>
        <v>#REF!</v>
      </c>
      <c r="EI25" t="e">
        <f>AND(#REF!,"AAAAAH9d6Yo=")</f>
        <v>#REF!</v>
      </c>
      <c r="EJ25" t="e">
        <f>AND(#REF!,"AAAAAH9d6Ys=")</f>
        <v>#REF!</v>
      </c>
      <c r="EK25" t="e">
        <f>IF(#REF!,"AAAAAH9d6Yw=",0)</f>
        <v>#REF!</v>
      </c>
      <c r="EL25" t="e">
        <f>AND(#REF!,"AAAAAH9d6Y0=")</f>
        <v>#REF!</v>
      </c>
      <c r="EM25" t="e">
        <f>AND(#REF!,"AAAAAH9d6Y4=")</f>
        <v>#REF!</v>
      </c>
      <c r="EN25" t="e">
        <f>AND(#REF!,"AAAAAH9d6Y8=")</f>
        <v>#REF!</v>
      </c>
      <c r="EO25" t="e">
        <f>AND(#REF!,"AAAAAH9d6ZA=")</f>
        <v>#REF!</v>
      </c>
      <c r="EP25" t="e">
        <f>AND(#REF!,"AAAAAH9d6ZE=")</f>
        <v>#REF!</v>
      </c>
      <c r="EQ25" t="e">
        <f>AND(#REF!,"AAAAAH9d6ZI=")</f>
        <v>#REF!</v>
      </c>
      <c r="ER25" t="e">
        <f>AND(#REF!,"AAAAAH9d6ZM=")</f>
        <v>#REF!</v>
      </c>
      <c r="ES25" t="e">
        <f>AND(#REF!,"AAAAAH9d6ZQ=")</f>
        <v>#REF!</v>
      </c>
      <c r="ET25" t="e">
        <f>AND(#REF!,"AAAAAH9d6ZU=")</f>
        <v>#REF!</v>
      </c>
      <c r="EU25" t="e">
        <f>AND(#REF!,"AAAAAH9d6ZY=")</f>
        <v>#REF!</v>
      </c>
      <c r="EV25" t="e">
        <f>AND(#REF!,"AAAAAH9d6Zc=")</f>
        <v>#REF!</v>
      </c>
      <c r="EW25" t="e">
        <f>AND(#REF!,"AAAAAH9d6Zg=")</f>
        <v>#REF!</v>
      </c>
      <c r="EX25" t="e">
        <f>AND(#REF!,"AAAAAH9d6Zk=")</f>
        <v>#REF!</v>
      </c>
      <c r="EY25" t="e">
        <f>AND(#REF!,"AAAAAH9d6Zo=")</f>
        <v>#REF!</v>
      </c>
      <c r="EZ25" t="e">
        <f>IF(#REF!,"AAAAAH9d6Zs=",0)</f>
        <v>#REF!</v>
      </c>
      <c r="FA25" t="e">
        <f>AND(#REF!,"AAAAAH9d6Zw=")</f>
        <v>#REF!</v>
      </c>
      <c r="FB25" t="e">
        <f>AND(#REF!,"AAAAAH9d6Z0=")</f>
        <v>#REF!</v>
      </c>
      <c r="FC25" t="e">
        <f>AND(#REF!,"AAAAAH9d6Z4=")</f>
        <v>#REF!</v>
      </c>
      <c r="FD25" t="e">
        <f>AND(#REF!,"AAAAAH9d6Z8=")</f>
        <v>#REF!</v>
      </c>
      <c r="FE25" t="e">
        <f>AND(#REF!,"AAAAAH9d6aA=")</f>
        <v>#REF!</v>
      </c>
      <c r="FF25" t="e">
        <f>AND(#REF!,"AAAAAH9d6aE=")</f>
        <v>#REF!</v>
      </c>
      <c r="FG25" t="e">
        <f>AND(#REF!,"AAAAAH9d6aI=")</f>
        <v>#REF!</v>
      </c>
      <c r="FH25" t="e">
        <f>AND(#REF!,"AAAAAH9d6aM=")</f>
        <v>#REF!</v>
      </c>
      <c r="FI25" t="e">
        <f>AND(#REF!,"AAAAAH9d6aQ=")</f>
        <v>#REF!</v>
      </c>
      <c r="FJ25" t="e">
        <f>AND(#REF!,"AAAAAH9d6aU=")</f>
        <v>#REF!</v>
      </c>
      <c r="FK25" t="e">
        <f>AND(#REF!,"AAAAAH9d6aY=")</f>
        <v>#REF!</v>
      </c>
      <c r="FL25" t="e">
        <f>AND(#REF!,"AAAAAH9d6ac=")</f>
        <v>#REF!</v>
      </c>
      <c r="FM25" t="e">
        <f>AND(#REF!,"AAAAAH9d6ag=")</f>
        <v>#REF!</v>
      </c>
      <c r="FN25" t="e">
        <f>AND(#REF!,"AAAAAH9d6ak=")</f>
        <v>#REF!</v>
      </c>
      <c r="FO25" t="e">
        <f>IF(#REF!,"AAAAAH9d6ao=",0)</f>
        <v>#REF!</v>
      </c>
      <c r="FP25" t="e">
        <f>AND(#REF!,"AAAAAH9d6as=")</f>
        <v>#REF!</v>
      </c>
      <c r="FQ25" t="e">
        <f>AND(#REF!,"AAAAAH9d6aw=")</f>
        <v>#REF!</v>
      </c>
      <c r="FR25" t="e">
        <f>AND(#REF!,"AAAAAH9d6a0=")</f>
        <v>#REF!</v>
      </c>
      <c r="FS25" t="e">
        <f>AND(#REF!,"AAAAAH9d6a4=")</f>
        <v>#REF!</v>
      </c>
      <c r="FT25" t="e">
        <f>AND(#REF!,"AAAAAH9d6a8=")</f>
        <v>#REF!</v>
      </c>
      <c r="FU25" t="e">
        <f>AND(#REF!,"AAAAAH9d6bA=")</f>
        <v>#REF!</v>
      </c>
      <c r="FV25" t="e">
        <f>AND(#REF!,"AAAAAH9d6bE=")</f>
        <v>#REF!</v>
      </c>
      <c r="FW25" t="e">
        <f>AND(#REF!,"AAAAAH9d6bI=")</f>
        <v>#REF!</v>
      </c>
      <c r="FX25" t="e">
        <f>AND(#REF!,"AAAAAH9d6bM=")</f>
        <v>#REF!</v>
      </c>
      <c r="FY25" t="e">
        <f>AND(#REF!,"AAAAAH9d6bQ=")</f>
        <v>#REF!</v>
      </c>
      <c r="FZ25" t="e">
        <f>AND(#REF!,"AAAAAH9d6bU=")</f>
        <v>#REF!</v>
      </c>
      <c r="GA25" t="e">
        <f>AND(#REF!,"AAAAAH9d6bY=")</f>
        <v>#REF!</v>
      </c>
      <c r="GB25" t="e">
        <f>AND(#REF!,"AAAAAH9d6bc=")</f>
        <v>#REF!</v>
      </c>
      <c r="GC25" t="e">
        <f>AND(#REF!,"AAAAAH9d6bg=")</f>
        <v>#REF!</v>
      </c>
      <c r="GD25" t="e">
        <f>IF(#REF!,"AAAAAH9d6bk=",0)</f>
        <v>#REF!</v>
      </c>
      <c r="GE25" t="e">
        <f>AND(#REF!,"AAAAAH9d6bo=")</f>
        <v>#REF!</v>
      </c>
      <c r="GF25" t="e">
        <f>AND(#REF!,"AAAAAH9d6bs=")</f>
        <v>#REF!</v>
      </c>
      <c r="GG25" t="e">
        <f>AND(#REF!,"AAAAAH9d6bw=")</f>
        <v>#REF!</v>
      </c>
      <c r="GH25" t="e">
        <f>AND(#REF!,"AAAAAH9d6b0=")</f>
        <v>#REF!</v>
      </c>
      <c r="GI25" t="e">
        <f>AND(#REF!,"AAAAAH9d6b4=")</f>
        <v>#REF!</v>
      </c>
      <c r="GJ25" t="e">
        <f>AND(#REF!,"AAAAAH9d6b8=")</f>
        <v>#REF!</v>
      </c>
      <c r="GK25" t="e">
        <f>AND(#REF!,"AAAAAH9d6cA=")</f>
        <v>#REF!</v>
      </c>
      <c r="GL25" t="e">
        <f>AND(#REF!,"AAAAAH9d6cE=")</f>
        <v>#REF!</v>
      </c>
      <c r="GM25" t="e">
        <f>AND(#REF!,"AAAAAH9d6cI=")</f>
        <v>#REF!</v>
      </c>
      <c r="GN25" t="e">
        <f>AND(#REF!,"AAAAAH9d6cM=")</f>
        <v>#REF!</v>
      </c>
      <c r="GO25" t="e">
        <f>AND(#REF!,"AAAAAH9d6cQ=")</f>
        <v>#REF!</v>
      </c>
      <c r="GP25" t="e">
        <f>AND(#REF!,"AAAAAH9d6cU=")</f>
        <v>#REF!</v>
      </c>
      <c r="GQ25" t="e">
        <f>AND(#REF!,"AAAAAH9d6cY=")</f>
        <v>#REF!</v>
      </c>
      <c r="GR25" t="e">
        <f>AND(#REF!,"AAAAAH9d6cc=")</f>
        <v>#REF!</v>
      </c>
      <c r="GS25" t="e">
        <f>IF(#REF!,"AAAAAH9d6cg=",0)</f>
        <v>#REF!</v>
      </c>
      <c r="GT25" t="e">
        <f>AND(#REF!,"AAAAAH9d6ck=")</f>
        <v>#REF!</v>
      </c>
      <c r="GU25" t="e">
        <f>AND(#REF!,"AAAAAH9d6co=")</f>
        <v>#REF!</v>
      </c>
      <c r="GV25" t="e">
        <f>AND(#REF!,"AAAAAH9d6cs=")</f>
        <v>#REF!</v>
      </c>
      <c r="GW25" t="e">
        <f>AND(#REF!,"AAAAAH9d6cw=")</f>
        <v>#REF!</v>
      </c>
      <c r="GX25" t="e">
        <f>AND(#REF!,"AAAAAH9d6c0=")</f>
        <v>#REF!</v>
      </c>
      <c r="GY25" t="e">
        <f>AND(#REF!,"AAAAAH9d6c4=")</f>
        <v>#REF!</v>
      </c>
      <c r="GZ25" t="e">
        <f>AND(#REF!,"AAAAAH9d6c8=")</f>
        <v>#REF!</v>
      </c>
      <c r="HA25" t="e">
        <f>AND(#REF!,"AAAAAH9d6dA=")</f>
        <v>#REF!</v>
      </c>
      <c r="HB25" t="e">
        <f>AND(#REF!,"AAAAAH9d6dE=")</f>
        <v>#REF!</v>
      </c>
      <c r="HC25" t="e">
        <f>AND(#REF!,"AAAAAH9d6dI=")</f>
        <v>#REF!</v>
      </c>
      <c r="HD25" t="e">
        <f>AND(#REF!,"AAAAAH9d6dM=")</f>
        <v>#REF!</v>
      </c>
      <c r="HE25" t="e">
        <f>AND(#REF!,"AAAAAH9d6dQ=")</f>
        <v>#REF!</v>
      </c>
      <c r="HF25" t="e">
        <f>AND(#REF!,"AAAAAH9d6dU=")</f>
        <v>#REF!</v>
      </c>
      <c r="HG25" t="e">
        <f>AND(#REF!,"AAAAAH9d6dY=")</f>
        <v>#REF!</v>
      </c>
      <c r="HH25" t="e">
        <f>IF(#REF!,"AAAAAH9d6dc=",0)</f>
        <v>#REF!</v>
      </c>
      <c r="HI25" t="e">
        <f>AND(#REF!,"AAAAAH9d6dg=")</f>
        <v>#REF!</v>
      </c>
      <c r="HJ25" t="e">
        <f>AND(#REF!,"AAAAAH9d6dk=")</f>
        <v>#REF!</v>
      </c>
      <c r="HK25" t="e">
        <f>AND(#REF!,"AAAAAH9d6do=")</f>
        <v>#REF!</v>
      </c>
      <c r="HL25" t="e">
        <f>AND(#REF!,"AAAAAH9d6ds=")</f>
        <v>#REF!</v>
      </c>
      <c r="HM25" t="e">
        <f>AND(#REF!,"AAAAAH9d6dw=")</f>
        <v>#REF!</v>
      </c>
      <c r="HN25" t="e">
        <f>AND(#REF!,"AAAAAH9d6d0=")</f>
        <v>#REF!</v>
      </c>
      <c r="HO25" t="e">
        <f>AND(#REF!,"AAAAAH9d6d4=")</f>
        <v>#REF!</v>
      </c>
      <c r="HP25" t="e">
        <f>AND(#REF!,"AAAAAH9d6d8=")</f>
        <v>#REF!</v>
      </c>
      <c r="HQ25" t="e">
        <f>AND(#REF!,"AAAAAH9d6eA=")</f>
        <v>#REF!</v>
      </c>
      <c r="HR25" t="e">
        <f>AND(#REF!,"AAAAAH9d6eE=")</f>
        <v>#REF!</v>
      </c>
      <c r="HS25" t="e">
        <f>AND(#REF!,"AAAAAH9d6eI=")</f>
        <v>#REF!</v>
      </c>
      <c r="HT25" t="e">
        <f>AND(#REF!,"AAAAAH9d6eM=")</f>
        <v>#REF!</v>
      </c>
      <c r="HU25" t="e">
        <f>AND(#REF!,"AAAAAH9d6eQ=")</f>
        <v>#REF!</v>
      </c>
      <c r="HV25" t="e">
        <f>AND(#REF!,"AAAAAH9d6eU=")</f>
        <v>#REF!</v>
      </c>
      <c r="HW25" t="e">
        <f>IF(#REF!,"AAAAAH9d6eY=",0)</f>
        <v>#REF!</v>
      </c>
      <c r="HX25" t="e">
        <f>AND(#REF!,"AAAAAH9d6ec=")</f>
        <v>#REF!</v>
      </c>
      <c r="HY25" t="e">
        <f>AND(#REF!,"AAAAAH9d6eg=")</f>
        <v>#REF!</v>
      </c>
      <c r="HZ25" t="e">
        <f>AND(#REF!,"AAAAAH9d6ek=")</f>
        <v>#REF!</v>
      </c>
      <c r="IA25" t="e">
        <f>AND(#REF!,"AAAAAH9d6eo=")</f>
        <v>#REF!</v>
      </c>
      <c r="IB25" t="e">
        <f>AND(#REF!,"AAAAAH9d6es=")</f>
        <v>#REF!</v>
      </c>
      <c r="IC25" t="e">
        <f>AND(#REF!,"AAAAAH9d6ew=")</f>
        <v>#REF!</v>
      </c>
      <c r="ID25" t="e">
        <f>AND(#REF!,"AAAAAH9d6e0=")</f>
        <v>#REF!</v>
      </c>
      <c r="IE25" t="e">
        <f>AND(#REF!,"AAAAAH9d6e4=")</f>
        <v>#REF!</v>
      </c>
      <c r="IF25" t="e">
        <f>AND(#REF!,"AAAAAH9d6e8=")</f>
        <v>#REF!</v>
      </c>
      <c r="IG25" t="e">
        <f>AND(#REF!,"AAAAAH9d6fA=")</f>
        <v>#REF!</v>
      </c>
      <c r="IH25" t="e">
        <f>AND(#REF!,"AAAAAH9d6fE=")</f>
        <v>#REF!</v>
      </c>
      <c r="II25" t="e">
        <f>AND(#REF!,"AAAAAH9d6fI=")</f>
        <v>#REF!</v>
      </c>
      <c r="IJ25" t="e">
        <f>AND(#REF!,"AAAAAH9d6fM=")</f>
        <v>#REF!</v>
      </c>
      <c r="IK25" t="e">
        <f>AND(#REF!,"AAAAAH9d6fQ=")</f>
        <v>#REF!</v>
      </c>
      <c r="IL25" t="e">
        <f>IF(#REF!,"AAAAAH9d6fU=",0)</f>
        <v>#REF!</v>
      </c>
      <c r="IM25" t="e">
        <f>AND(#REF!,"AAAAAH9d6fY=")</f>
        <v>#REF!</v>
      </c>
      <c r="IN25" t="e">
        <f>AND(#REF!,"AAAAAH9d6fc=")</f>
        <v>#REF!</v>
      </c>
      <c r="IO25" t="e">
        <f>AND(#REF!,"AAAAAH9d6fg=")</f>
        <v>#REF!</v>
      </c>
      <c r="IP25" t="e">
        <f>AND(#REF!,"AAAAAH9d6fk=")</f>
        <v>#REF!</v>
      </c>
      <c r="IQ25" t="e">
        <f>AND(#REF!,"AAAAAH9d6fo=")</f>
        <v>#REF!</v>
      </c>
      <c r="IR25" t="e">
        <f>AND(#REF!,"AAAAAH9d6fs=")</f>
        <v>#REF!</v>
      </c>
      <c r="IS25" t="e">
        <f>AND(#REF!,"AAAAAH9d6fw=")</f>
        <v>#REF!</v>
      </c>
      <c r="IT25" t="e">
        <f>AND(#REF!,"AAAAAH9d6f0=")</f>
        <v>#REF!</v>
      </c>
      <c r="IU25" t="e">
        <f>AND(#REF!,"AAAAAH9d6f4=")</f>
        <v>#REF!</v>
      </c>
      <c r="IV25" t="e">
        <f>AND(#REF!,"AAAAAH9d6f8=")</f>
        <v>#REF!</v>
      </c>
    </row>
    <row r="26" spans="1:256" x14ac:dyDescent="0.25">
      <c r="A26" t="e">
        <f>AND(#REF!,"AAAAAF3vvwA=")</f>
        <v>#REF!</v>
      </c>
      <c r="B26" t="e">
        <f>AND(#REF!,"AAAAAF3vvwE=")</f>
        <v>#REF!</v>
      </c>
      <c r="C26" t="e">
        <f>AND(#REF!,"AAAAAF3vvwI=")</f>
        <v>#REF!</v>
      </c>
      <c r="D26" t="e">
        <f>AND(#REF!,"AAAAAF3vvwM=")</f>
        <v>#REF!</v>
      </c>
      <c r="E26" t="e">
        <f>IF(#REF!,"AAAAAF3vvwQ=",0)</f>
        <v>#REF!</v>
      </c>
      <c r="F26" t="e">
        <f>AND(#REF!,"AAAAAF3vvwU=")</f>
        <v>#REF!</v>
      </c>
      <c r="G26" t="e">
        <f>AND(#REF!,"AAAAAF3vvwY=")</f>
        <v>#REF!</v>
      </c>
      <c r="H26" t="e">
        <f>AND(#REF!,"AAAAAF3vvwc=")</f>
        <v>#REF!</v>
      </c>
      <c r="I26" t="e">
        <f>AND(#REF!,"AAAAAF3vvwg=")</f>
        <v>#REF!</v>
      </c>
      <c r="J26" t="e">
        <f>AND(#REF!,"AAAAAF3vvwk=")</f>
        <v>#REF!</v>
      </c>
      <c r="K26" t="e">
        <f>AND(#REF!,"AAAAAF3vvwo=")</f>
        <v>#REF!</v>
      </c>
      <c r="L26" t="e">
        <f>AND(#REF!,"AAAAAF3vvws=")</f>
        <v>#REF!</v>
      </c>
      <c r="M26" t="e">
        <f>AND(#REF!,"AAAAAF3vvww=")</f>
        <v>#REF!</v>
      </c>
      <c r="N26" t="e">
        <f>AND(#REF!,"AAAAAF3vvw0=")</f>
        <v>#REF!</v>
      </c>
      <c r="O26" t="e">
        <f>AND(#REF!,"AAAAAF3vvw4=")</f>
        <v>#REF!</v>
      </c>
      <c r="P26" t="e">
        <f>AND(#REF!,"AAAAAF3vvw8=")</f>
        <v>#REF!</v>
      </c>
      <c r="Q26" t="e">
        <f>AND(#REF!,"AAAAAF3vvxA=")</f>
        <v>#REF!</v>
      </c>
      <c r="R26" t="e">
        <f>AND(#REF!,"AAAAAF3vvxE=")</f>
        <v>#REF!</v>
      </c>
      <c r="S26" t="e">
        <f>AND(#REF!,"AAAAAF3vvxI=")</f>
        <v>#REF!</v>
      </c>
      <c r="T26" t="e">
        <f>IF(#REF!,"AAAAAF3vvxM=",0)</f>
        <v>#REF!</v>
      </c>
      <c r="U26" t="e">
        <f>AND(#REF!,"AAAAAF3vvxQ=")</f>
        <v>#REF!</v>
      </c>
      <c r="V26" t="e">
        <f>AND(#REF!,"AAAAAF3vvxU=")</f>
        <v>#REF!</v>
      </c>
      <c r="W26" t="e">
        <f>AND(#REF!,"AAAAAF3vvxY=")</f>
        <v>#REF!</v>
      </c>
      <c r="X26" t="e">
        <f>AND(#REF!,"AAAAAF3vvxc=")</f>
        <v>#REF!</v>
      </c>
      <c r="Y26" t="e">
        <f>AND(#REF!,"AAAAAF3vvxg=")</f>
        <v>#REF!</v>
      </c>
      <c r="Z26" t="e">
        <f>AND(#REF!,"AAAAAF3vvxk=")</f>
        <v>#REF!</v>
      </c>
      <c r="AA26" t="e">
        <f>AND(#REF!,"AAAAAF3vvxo=")</f>
        <v>#REF!</v>
      </c>
      <c r="AB26" t="e">
        <f>AND(#REF!,"AAAAAF3vvxs=")</f>
        <v>#REF!</v>
      </c>
      <c r="AC26" t="e">
        <f>AND(#REF!,"AAAAAF3vvxw=")</f>
        <v>#REF!</v>
      </c>
      <c r="AD26" t="e">
        <f>AND(#REF!,"AAAAAF3vvx0=")</f>
        <v>#REF!</v>
      </c>
      <c r="AE26" t="e">
        <f>AND(#REF!,"AAAAAF3vvx4=")</f>
        <v>#REF!</v>
      </c>
      <c r="AF26" t="e">
        <f>AND(#REF!,"AAAAAF3vvx8=")</f>
        <v>#REF!</v>
      </c>
      <c r="AG26" t="e">
        <f>AND(#REF!,"AAAAAF3vvyA=")</f>
        <v>#REF!</v>
      </c>
      <c r="AH26" t="e">
        <f>AND(#REF!,"AAAAAF3vvyE=")</f>
        <v>#REF!</v>
      </c>
      <c r="AI26" t="e">
        <f>IF(#REF!,"AAAAAF3vvyI=",0)</f>
        <v>#REF!</v>
      </c>
      <c r="AJ26" t="e">
        <f>AND(#REF!,"AAAAAF3vvyM=")</f>
        <v>#REF!</v>
      </c>
      <c r="AK26" t="e">
        <f>AND(#REF!,"AAAAAF3vvyQ=")</f>
        <v>#REF!</v>
      </c>
      <c r="AL26" t="e">
        <f>AND(#REF!,"AAAAAF3vvyU=")</f>
        <v>#REF!</v>
      </c>
      <c r="AM26" t="e">
        <f>AND(#REF!,"AAAAAF3vvyY=")</f>
        <v>#REF!</v>
      </c>
      <c r="AN26" t="e">
        <f>AND(#REF!,"AAAAAF3vvyc=")</f>
        <v>#REF!</v>
      </c>
      <c r="AO26" t="e">
        <f>AND(#REF!,"AAAAAF3vvyg=")</f>
        <v>#REF!</v>
      </c>
      <c r="AP26" t="e">
        <f>AND(#REF!,"AAAAAF3vvyk=")</f>
        <v>#REF!</v>
      </c>
      <c r="AQ26" t="e">
        <f>AND(#REF!,"AAAAAF3vvyo=")</f>
        <v>#REF!</v>
      </c>
      <c r="AR26" t="e">
        <f>AND(#REF!,"AAAAAF3vvys=")</f>
        <v>#REF!</v>
      </c>
      <c r="AS26" t="e">
        <f>AND(#REF!,"AAAAAF3vvyw=")</f>
        <v>#REF!</v>
      </c>
      <c r="AT26" t="e">
        <f>AND(#REF!,"AAAAAF3vvy0=")</f>
        <v>#REF!</v>
      </c>
      <c r="AU26" t="e">
        <f>AND(#REF!,"AAAAAF3vvy4=")</f>
        <v>#REF!</v>
      </c>
      <c r="AV26" t="e">
        <f>AND(#REF!,"AAAAAF3vvy8=")</f>
        <v>#REF!</v>
      </c>
      <c r="AW26" t="e">
        <f>AND(#REF!,"AAAAAF3vvzA=")</f>
        <v>#REF!</v>
      </c>
      <c r="AX26" t="e">
        <f>IF(#REF!,"AAAAAF3vvzE=",0)</f>
        <v>#REF!</v>
      </c>
      <c r="AY26" t="e">
        <f>AND(#REF!,"AAAAAF3vvzI=")</f>
        <v>#REF!</v>
      </c>
      <c r="AZ26" t="e">
        <f>AND(#REF!,"AAAAAF3vvzM=")</f>
        <v>#REF!</v>
      </c>
      <c r="BA26" t="e">
        <f>AND(#REF!,"AAAAAF3vvzQ=")</f>
        <v>#REF!</v>
      </c>
      <c r="BB26" t="e">
        <f>AND(#REF!,"AAAAAF3vvzU=")</f>
        <v>#REF!</v>
      </c>
      <c r="BC26" t="e">
        <f>AND(#REF!,"AAAAAF3vvzY=")</f>
        <v>#REF!</v>
      </c>
      <c r="BD26" t="e">
        <f>AND(#REF!,"AAAAAF3vvzc=")</f>
        <v>#REF!</v>
      </c>
      <c r="BE26" t="e">
        <f>AND(#REF!,"AAAAAF3vvzg=")</f>
        <v>#REF!</v>
      </c>
      <c r="BF26" t="e">
        <f>AND(#REF!,"AAAAAF3vvzk=")</f>
        <v>#REF!</v>
      </c>
      <c r="BG26" t="e">
        <f>AND(#REF!,"AAAAAF3vvzo=")</f>
        <v>#REF!</v>
      </c>
      <c r="BH26" t="e">
        <f>AND(#REF!,"AAAAAF3vvzs=")</f>
        <v>#REF!</v>
      </c>
      <c r="BI26" t="e">
        <f>AND(#REF!,"AAAAAF3vvzw=")</f>
        <v>#REF!</v>
      </c>
      <c r="BJ26" t="e">
        <f>AND(#REF!,"AAAAAF3vvz0=")</f>
        <v>#REF!</v>
      </c>
      <c r="BK26" t="e">
        <f>AND(#REF!,"AAAAAF3vvz4=")</f>
        <v>#REF!</v>
      </c>
      <c r="BL26" t="e">
        <f>AND(#REF!,"AAAAAF3vvz8=")</f>
        <v>#REF!</v>
      </c>
      <c r="BM26" t="e">
        <f>IF(#REF!,"AAAAAF3vv0A=",0)</f>
        <v>#REF!</v>
      </c>
      <c r="BN26" t="e">
        <f>AND(#REF!,"AAAAAF3vv0E=")</f>
        <v>#REF!</v>
      </c>
      <c r="BO26" t="e">
        <f>AND(#REF!,"AAAAAF3vv0I=")</f>
        <v>#REF!</v>
      </c>
      <c r="BP26" t="e">
        <f>AND(#REF!,"AAAAAF3vv0M=")</f>
        <v>#REF!</v>
      </c>
      <c r="BQ26" t="e">
        <f>AND(#REF!,"AAAAAF3vv0Q=")</f>
        <v>#REF!</v>
      </c>
      <c r="BR26" t="e">
        <f>AND(#REF!,"AAAAAF3vv0U=")</f>
        <v>#REF!</v>
      </c>
      <c r="BS26" t="e">
        <f>AND(#REF!,"AAAAAF3vv0Y=")</f>
        <v>#REF!</v>
      </c>
      <c r="BT26" t="e">
        <f>AND(#REF!,"AAAAAF3vv0c=")</f>
        <v>#REF!</v>
      </c>
      <c r="BU26" t="e">
        <f>AND(#REF!,"AAAAAF3vv0g=")</f>
        <v>#REF!</v>
      </c>
      <c r="BV26" t="e">
        <f>AND(#REF!,"AAAAAF3vv0k=")</f>
        <v>#REF!</v>
      </c>
      <c r="BW26" t="e">
        <f>AND(#REF!,"AAAAAF3vv0o=")</f>
        <v>#REF!</v>
      </c>
      <c r="BX26" t="e">
        <f>AND(#REF!,"AAAAAF3vv0s=")</f>
        <v>#REF!</v>
      </c>
      <c r="BY26" t="e">
        <f>AND(#REF!,"AAAAAF3vv0w=")</f>
        <v>#REF!</v>
      </c>
      <c r="BZ26" t="e">
        <f>AND(#REF!,"AAAAAF3vv00=")</f>
        <v>#REF!</v>
      </c>
      <c r="CA26" t="e">
        <f>AND(#REF!,"AAAAAF3vv04=")</f>
        <v>#REF!</v>
      </c>
      <c r="CB26" t="e">
        <f>IF(#REF!,"AAAAAF3vv08=",0)</f>
        <v>#REF!</v>
      </c>
      <c r="CC26" t="e">
        <f>AND(#REF!,"AAAAAF3vv1A=")</f>
        <v>#REF!</v>
      </c>
      <c r="CD26" t="e">
        <f>AND(#REF!,"AAAAAF3vv1E=")</f>
        <v>#REF!</v>
      </c>
      <c r="CE26" t="e">
        <f>AND(#REF!,"AAAAAF3vv1I=")</f>
        <v>#REF!</v>
      </c>
      <c r="CF26" t="e">
        <f>AND(#REF!,"AAAAAF3vv1M=")</f>
        <v>#REF!</v>
      </c>
      <c r="CG26" t="e">
        <f>AND(#REF!,"AAAAAF3vv1Q=")</f>
        <v>#REF!</v>
      </c>
      <c r="CH26" t="e">
        <f>AND(#REF!,"AAAAAF3vv1U=")</f>
        <v>#REF!</v>
      </c>
      <c r="CI26" t="e">
        <f>AND(#REF!,"AAAAAF3vv1Y=")</f>
        <v>#REF!</v>
      </c>
      <c r="CJ26" t="e">
        <f>AND(#REF!,"AAAAAF3vv1c=")</f>
        <v>#REF!</v>
      </c>
      <c r="CK26" t="e">
        <f>AND(#REF!,"AAAAAF3vv1g=")</f>
        <v>#REF!</v>
      </c>
      <c r="CL26" t="e">
        <f>AND(#REF!,"AAAAAF3vv1k=")</f>
        <v>#REF!</v>
      </c>
      <c r="CM26" t="e">
        <f>AND(#REF!,"AAAAAF3vv1o=")</f>
        <v>#REF!</v>
      </c>
      <c r="CN26" t="e">
        <f>AND(#REF!,"AAAAAF3vv1s=")</f>
        <v>#REF!</v>
      </c>
      <c r="CO26" t="e">
        <f>AND(#REF!,"AAAAAF3vv1w=")</f>
        <v>#REF!</v>
      </c>
      <c r="CP26" t="e">
        <f>AND(#REF!,"AAAAAF3vv10=")</f>
        <v>#REF!</v>
      </c>
      <c r="CQ26" t="e">
        <f>IF(#REF!,"AAAAAF3vv14=",0)</f>
        <v>#REF!</v>
      </c>
      <c r="CR26" t="e">
        <f>AND(#REF!,"AAAAAF3vv18=")</f>
        <v>#REF!</v>
      </c>
      <c r="CS26" t="e">
        <f>AND(#REF!,"AAAAAF3vv2A=")</f>
        <v>#REF!</v>
      </c>
      <c r="CT26" t="e">
        <f>AND(#REF!,"AAAAAF3vv2E=")</f>
        <v>#REF!</v>
      </c>
      <c r="CU26" t="e">
        <f>AND(#REF!,"AAAAAF3vv2I=")</f>
        <v>#REF!</v>
      </c>
      <c r="CV26" t="e">
        <f>AND(#REF!,"AAAAAF3vv2M=")</f>
        <v>#REF!</v>
      </c>
      <c r="CW26" t="e">
        <f>AND(#REF!,"AAAAAF3vv2Q=")</f>
        <v>#REF!</v>
      </c>
      <c r="CX26" t="e">
        <f>AND(#REF!,"AAAAAF3vv2U=")</f>
        <v>#REF!</v>
      </c>
      <c r="CY26" t="e">
        <f>AND(#REF!,"AAAAAF3vv2Y=")</f>
        <v>#REF!</v>
      </c>
      <c r="CZ26" t="e">
        <f>AND(#REF!,"AAAAAF3vv2c=")</f>
        <v>#REF!</v>
      </c>
      <c r="DA26" t="e">
        <f>AND(#REF!,"AAAAAF3vv2g=")</f>
        <v>#REF!</v>
      </c>
      <c r="DB26" t="e">
        <f>AND(#REF!,"AAAAAF3vv2k=")</f>
        <v>#REF!</v>
      </c>
      <c r="DC26" t="e">
        <f>AND(#REF!,"AAAAAF3vv2o=")</f>
        <v>#REF!</v>
      </c>
      <c r="DD26" t="e">
        <f>AND(#REF!,"AAAAAF3vv2s=")</f>
        <v>#REF!</v>
      </c>
      <c r="DE26" t="e">
        <f>AND(#REF!,"AAAAAF3vv2w=")</f>
        <v>#REF!</v>
      </c>
      <c r="DF26" t="e">
        <f>IF(#REF!,"AAAAAF3vv20=",0)</f>
        <v>#REF!</v>
      </c>
      <c r="DG26" t="e">
        <f>AND(#REF!,"AAAAAF3vv24=")</f>
        <v>#REF!</v>
      </c>
      <c r="DH26" t="e">
        <f>AND(#REF!,"AAAAAF3vv28=")</f>
        <v>#REF!</v>
      </c>
      <c r="DI26" t="e">
        <f>AND(#REF!,"AAAAAF3vv3A=")</f>
        <v>#REF!</v>
      </c>
      <c r="DJ26" t="e">
        <f>AND(#REF!,"AAAAAF3vv3E=")</f>
        <v>#REF!</v>
      </c>
      <c r="DK26" t="e">
        <f>AND(#REF!,"AAAAAF3vv3I=")</f>
        <v>#REF!</v>
      </c>
      <c r="DL26" t="e">
        <f>AND(#REF!,"AAAAAF3vv3M=")</f>
        <v>#REF!</v>
      </c>
      <c r="DM26" t="e">
        <f>AND(#REF!,"AAAAAF3vv3Q=")</f>
        <v>#REF!</v>
      </c>
      <c r="DN26" t="e">
        <f>AND(#REF!,"AAAAAF3vv3U=")</f>
        <v>#REF!</v>
      </c>
      <c r="DO26" t="e">
        <f>AND(#REF!,"AAAAAF3vv3Y=")</f>
        <v>#REF!</v>
      </c>
      <c r="DP26" t="e">
        <f>AND(#REF!,"AAAAAF3vv3c=")</f>
        <v>#REF!</v>
      </c>
      <c r="DQ26" t="e">
        <f>AND(#REF!,"AAAAAF3vv3g=")</f>
        <v>#REF!</v>
      </c>
      <c r="DR26" t="e">
        <f>AND(#REF!,"AAAAAF3vv3k=")</f>
        <v>#REF!</v>
      </c>
      <c r="DS26" t="e">
        <f>AND(#REF!,"AAAAAF3vv3o=")</f>
        <v>#REF!</v>
      </c>
      <c r="DT26" t="e">
        <f>AND(#REF!,"AAAAAF3vv3s=")</f>
        <v>#REF!</v>
      </c>
      <c r="DU26" t="e">
        <f>IF(#REF!,"AAAAAF3vv3w=",0)</f>
        <v>#REF!</v>
      </c>
      <c r="DV26" t="e">
        <f>AND(#REF!,"AAAAAF3vv30=")</f>
        <v>#REF!</v>
      </c>
      <c r="DW26" t="e">
        <f>AND(#REF!,"AAAAAF3vv34=")</f>
        <v>#REF!</v>
      </c>
      <c r="DX26" t="e">
        <f>AND(#REF!,"AAAAAF3vv38=")</f>
        <v>#REF!</v>
      </c>
      <c r="DY26" t="e">
        <f>AND(#REF!,"AAAAAF3vv4A=")</f>
        <v>#REF!</v>
      </c>
      <c r="DZ26" t="e">
        <f>AND(#REF!,"AAAAAF3vv4E=")</f>
        <v>#REF!</v>
      </c>
      <c r="EA26" t="e">
        <f>AND(#REF!,"AAAAAF3vv4I=")</f>
        <v>#REF!</v>
      </c>
      <c r="EB26" t="e">
        <f>AND(#REF!,"AAAAAF3vv4M=")</f>
        <v>#REF!</v>
      </c>
      <c r="EC26" t="e">
        <f>AND(#REF!,"AAAAAF3vv4Q=")</f>
        <v>#REF!</v>
      </c>
      <c r="ED26" t="e">
        <f>AND(#REF!,"AAAAAF3vv4U=")</f>
        <v>#REF!</v>
      </c>
      <c r="EE26" t="e">
        <f>AND(#REF!,"AAAAAF3vv4Y=")</f>
        <v>#REF!</v>
      </c>
      <c r="EF26" t="e">
        <f>AND(#REF!,"AAAAAF3vv4c=")</f>
        <v>#REF!</v>
      </c>
      <c r="EG26" t="e">
        <f>AND(#REF!,"AAAAAF3vv4g=")</f>
        <v>#REF!</v>
      </c>
      <c r="EH26" t="e">
        <f>AND(#REF!,"AAAAAF3vv4k=")</f>
        <v>#REF!</v>
      </c>
      <c r="EI26" t="e">
        <f>AND(#REF!,"AAAAAF3vv4o=")</f>
        <v>#REF!</v>
      </c>
      <c r="EJ26" t="e">
        <f>IF(#REF!,"AAAAAF3vv4s=",0)</f>
        <v>#REF!</v>
      </c>
      <c r="EK26" t="e">
        <f>AND(#REF!,"AAAAAF3vv4w=")</f>
        <v>#REF!</v>
      </c>
      <c r="EL26" t="e">
        <f>AND(#REF!,"AAAAAF3vv40=")</f>
        <v>#REF!</v>
      </c>
      <c r="EM26" t="e">
        <f>AND(#REF!,"AAAAAF3vv44=")</f>
        <v>#REF!</v>
      </c>
      <c r="EN26" t="e">
        <f>AND(#REF!,"AAAAAF3vv48=")</f>
        <v>#REF!</v>
      </c>
      <c r="EO26" t="e">
        <f>AND(#REF!,"AAAAAF3vv5A=")</f>
        <v>#REF!</v>
      </c>
      <c r="EP26" t="e">
        <f>AND(#REF!,"AAAAAF3vv5E=")</f>
        <v>#REF!</v>
      </c>
      <c r="EQ26" t="e">
        <f>AND(#REF!,"AAAAAF3vv5I=")</f>
        <v>#REF!</v>
      </c>
      <c r="ER26" t="e">
        <f>AND(#REF!,"AAAAAF3vv5M=")</f>
        <v>#REF!</v>
      </c>
      <c r="ES26" t="e">
        <f>AND(#REF!,"AAAAAF3vv5Q=")</f>
        <v>#REF!</v>
      </c>
      <c r="ET26" t="e">
        <f>AND(#REF!,"AAAAAF3vv5U=")</f>
        <v>#REF!</v>
      </c>
      <c r="EU26" t="e">
        <f>AND(#REF!,"AAAAAF3vv5Y=")</f>
        <v>#REF!</v>
      </c>
      <c r="EV26" t="e">
        <f>AND(#REF!,"AAAAAF3vv5c=")</f>
        <v>#REF!</v>
      </c>
      <c r="EW26" t="e">
        <f>AND(#REF!,"AAAAAF3vv5g=")</f>
        <v>#REF!</v>
      </c>
      <c r="EX26" t="e">
        <f>AND(#REF!,"AAAAAF3vv5k=")</f>
        <v>#REF!</v>
      </c>
      <c r="EY26" t="e">
        <f>IF(#REF!,"AAAAAF3vv5o=",0)</f>
        <v>#REF!</v>
      </c>
      <c r="EZ26" t="e">
        <f>AND(#REF!,"AAAAAF3vv5s=")</f>
        <v>#REF!</v>
      </c>
      <c r="FA26" t="e">
        <f>AND(#REF!,"AAAAAF3vv5w=")</f>
        <v>#REF!</v>
      </c>
      <c r="FB26" t="e">
        <f>AND(#REF!,"AAAAAF3vv50=")</f>
        <v>#REF!</v>
      </c>
      <c r="FC26" t="e">
        <f>AND(#REF!,"AAAAAF3vv54=")</f>
        <v>#REF!</v>
      </c>
      <c r="FD26" t="e">
        <f>AND(#REF!,"AAAAAF3vv58=")</f>
        <v>#REF!</v>
      </c>
      <c r="FE26" t="e">
        <f>AND(#REF!,"AAAAAF3vv6A=")</f>
        <v>#REF!</v>
      </c>
      <c r="FF26" t="e">
        <f>AND(#REF!,"AAAAAF3vv6E=")</f>
        <v>#REF!</v>
      </c>
      <c r="FG26" t="e">
        <f>AND(#REF!,"AAAAAF3vv6I=")</f>
        <v>#REF!</v>
      </c>
      <c r="FH26" t="e">
        <f>AND(#REF!,"AAAAAF3vv6M=")</f>
        <v>#REF!</v>
      </c>
      <c r="FI26" t="e">
        <f>AND(#REF!,"AAAAAF3vv6Q=")</f>
        <v>#REF!</v>
      </c>
      <c r="FJ26" t="e">
        <f>AND(#REF!,"AAAAAF3vv6U=")</f>
        <v>#REF!</v>
      </c>
      <c r="FK26" t="e">
        <f>AND(#REF!,"AAAAAF3vv6Y=")</f>
        <v>#REF!</v>
      </c>
      <c r="FL26" t="e">
        <f>AND(#REF!,"AAAAAF3vv6c=")</f>
        <v>#REF!</v>
      </c>
      <c r="FM26" t="e">
        <f>AND(#REF!,"AAAAAF3vv6g=")</f>
        <v>#REF!</v>
      </c>
      <c r="FN26" t="e">
        <f>IF(#REF!,"AAAAAF3vv6k=",0)</f>
        <v>#REF!</v>
      </c>
      <c r="FO26" t="e">
        <f>AND(#REF!,"AAAAAF3vv6o=")</f>
        <v>#REF!</v>
      </c>
      <c r="FP26" t="e">
        <f>AND(#REF!,"AAAAAF3vv6s=")</f>
        <v>#REF!</v>
      </c>
      <c r="FQ26" t="e">
        <f>AND(#REF!,"AAAAAF3vv6w=")</f>
        <v>#REF!</v>
      </c>
      <c r="FR26" t="e">
        <f>AND(#REF!,"AAAAAF3vv60=")</f>
        <v>#REF!</v>
      </c>
      <c r="FS26" t="e">
        <f>AND(#REF!,"AAAAAF3vv64=")</f>
        <v>#REF!</v>
      </c>
      <c r="FT26" t="e">
        <f>AND(#REF!,"AAAAAF3vv68=")</f>
        <v>#REF!</v>
      </c>
      <c r="FU26" t="e">
        <f>AND(#REF!,"AAAAAF3vv7A=")</f>
        <v>#REF!</v>
      </c>
      <c r="FV26" t="e">
        <f>AND(#REF!,"AAAAAF3vv7E=")</f>
        <v>#REF!</v>
      </c>
      <c r="FW26" t="e">
        <f>AND(#REF!,"AAAAAF3vv7I=")</f>
        <v>#REF!</v>
      </c>
      <c r="FX26" t="e">
        <f>AND(#REF!,"AAAAAF3vv7M=")</f>
        <v>#REF!</v>
      </c>
      <c r="FY26" t="e">
        <f>AND(#REF!,"AAAAAF3vv7Q=")</f>
        <v>#REF!</v>
      </c>
      <c r="FZ26" t="e">
        <f>AND(#REF!,"AAAAAF3vv7U=")</f>
        <v>#REF!</v>
      </c>
      <c r="GA26" t="e">
        <f>AND(#REF!,"AAAAAF3vv7Y=")</f>
        <v>#REF!</v>
      </c>
      <c r="GB26" t="e">
        <f>AND(#REF!,"AAAAAF3vv7c=")</f>
        <v>#REF!</v>
      </c>
      <c r="GC26" t="e">
        <f>IF(#REF!,"AAAAAF3vv7g=",0)</f>
        <v>#REF!</v>
      </c>
      <c r="GD26" t="e">
        <f>AND(#REF!,"AAAAAF3vv7k=")</f>
        <v>#REF!</v>
      </c>
      <c r="GE26" t="e">
        <f>AND(#REF!,"AAAAAF3vv7o=")</f>
        <v>#REF!</v>
      </c>
      <c r="GF26" t="e">
        <f>AND(#REF!,"AAAAAF3vv7s=")</f>
        <v>#REF!</v>
      </c>
      <c r="GG26" t="e">
        <f>AND(#REF!,"AAAAAF3vv7w=")</f>
        <v>#REF!</v>
      </c>
      <c r="GH26" t="e">
        <f>AND(#REF!,"AAAAAF3vv70=")</f>
        <v>#REF!</v>
      </c>
      <c r="GI26" t="e">
        <f>AND(#REF!,"AAAAAF3vv74=")</f>
        <v>#REF!</v>
      </c>
      <c r="GJ26" t="e">
        <f>AND(#REF!,"AAAAAF3vv78=")</f>
        <v>#REF!</v>
      </c>
      <c r="GK26" t="e">
        <f>AND(#REF!,"AAAAAF3vv8A=")</f>
        <v>#REF!</v>
      </c>
      <c r="GL26" t="e">
        <f>AND(#REF!,"AAAAAF3vv8E=")</f>
        <v>#REF!</v>
      </c>
      <c r="GM26" t="e">
        <f>AND(#REF!,"AAAAAF3vv8I=")</f>
        <v>#REF!</v>
      </c>
      <c r="GN26" t="e">
        <f>AND(#REF!,"AAAAAF3vv8M=")</f>
        <v>#REF!</v>
      </c>
      <c r="GO26" t="e">
        <f>AND(#REF!,"AAAAAF3vv8Q=")</f>
        <v>#REF!</v>
      </c>
      <c r="GP26" t="e">
        <f>AND(#REF!,"AAAAAF3vv8U=")</f>
        <v>#REF!</v>
      </c>
      <c r="GQ26" t="e">
        <f>AND(#REF!,"AAAAAF3vv8Y=")</f>
        <v>#REF!</v>
      </c>
      <c r="GR26" t="e">
        <f>IF(#REF!,"AAAAAF3vv8c=",0)</f>
        <v>#REF!</v>
      </c>
      <c r="GS26" t="e">
        <f>AND(#REF!,"AAAAAF3vv8g=")</f>
        <v>#REF!</v>
      </c>
      <c r="GT26" t="e">
        <f>AND(#REF!,"AAAAAF3vv8k=")</f>
        <v>#REF!</v>
      </c>
      <c r="GU26" t="e">
        <f>AND(#REF!,"AAAAAF3vv8o=")</f>
        <v>#REF!</v>
      </c>
      <c r="GV26" t="e">
        <f>AND(#REF!,"AAAAAF3vv8s=")</f>
        <v>#REF!</v>
      </c>
      <c r="GW26" t="e">
        <f>AND(#REF!,"AAAAAF3vv8w=")</f>
        <v>#REF!</v>
      </c>
      <c r="GX26" t="e">
        <f>AND(#REF!,"AAAAAF3vv80=")</f>
        <v>#REF!</v>
      </c>
      <c r="GY26" t="e">
        <f>AND(#REF!,"AAAAAF3vv84=")</f>
        <v>#REF!</v>
      </c>
      <c r="GZ26" t="e">
        <f>AND(#REF!,"AAAAAF3vv88=")</f>
        <v>#REF!</v>
      </c>
      <c r="HA26" t="e">
        <f>AND(#REF!,"AAAAAF3vv9A=")</f>
        <v>#REF!</v>
      </c>
      <c r="HB26" t="e">
        <f>AND(#REF!,"AAAAAF3vv9E=")</f>
        <v>#REF!</v>
      </c>
      <c r="HC26" t="e">
        <f>AND(#REF!,"AAAAAF3vv9I=")</f>
        <v>#REF!</v>
      </c>
      <c r="HD26" t="e">
        <f>AND(#REF!,"AAAAAF3vv9M=")</f>
        <v>#REF!</v>
      </c>
      <c r="HE26" t="e">
        <f>AND(#REF!,"AAAAAF3vv9Q=")</f>
        <v>#REF!</v>
      </c>
      <c r="HF26" t="e">
        <f>AND(#REF!,"AAAAAF3vv9U=")</f>
        <v>#REF!</v>
      </c>
      <c r="HG26" t="e">
        <f>IF(#REF!,"AAAAAF3vv9Y=",0)</f>
        <v>#REF!</v>
      </c>
      <c r="HH26" t="e">
        <f>AND(#REF!,"AAAAAF3vv9c=")</f>
        <v>#REF!</v>
      </c>
      <c r="HI26" t="e">
        <f>AND(#REF!,"AAAAAF3vv9g=")</f>
        <v>#REF!</v>
      </c>
      <c r="HJ26" t="e">
        <f>AND(#REF!,"AAAAAF3vv9k=")</f>
        <v>#REF!</v>
      </c>
      <c r="HK26" t="e">
        <f>AND(#REF!,"AAAAAF3vv9o=")</f>
        <v>#REF!</v>
      </c>
      <c r="HL26" t="e">
        <f>AND(#REF!,"AAAAAF3vv9s=")</f>
        <v>#REF!</v>
      </c>
      <c r="HM26" t="e">
        <f>AND(#REF!,"AAAAAF3vv9w=")</f>
        <v>#REF!</v>
      </c>
      <c r="HN26" t="e">
        <f>AND(#REF!,"AAAAAF3vv90=")</f>
        <v>#REF!</v>
      </c>
      <c r="HO26" t="e">
        <f>AND(#REF!,"AAAAAF3vv94=")</f>
        <v>#REF!</v>
      </c>
      <c r="HP26" t="e">
        <f>AND(#REF!,"AAAAAF3vv98=")</f>
        <v>#REF!</v>
      </c>
      <c r="HQ26" t="e">
        <f>AND(#REF!,"AAAAAF3vv+A=")</f>
        <v>#REF!</v>
      </c>
      <c r="HR26" t="e">
        <f>AND(#REF!,"AAAAAF3vv+E=")</f>
        <v>#REF!</v>
      </c>
      <c r="HS26" t="e">
        <f>AND(#REF!,"AAAAAF3vv+I=")</f>
        <v>#REF!</v>
      </c>
      <c r="HT26" t="e">
        <f>AND(#REF!,"AAAAAF3vv+M=")</f>
        <v>#REF!</v>
      </c>
      <c r="HU26" t="e">
        <f>AND(#REF!,"AAAAAF3vv+Q=")</f>
        <v>#REF!</v>
      </c>
      <c r="HV26" t="e">
        <f>IF(#REF!,"AAAAAF3vv+U=",0)</f>
        <v>#REF!</v>
      </c>
      <c r="HW26" t="e">
        <f>AND(#REF!,"AAAAAF3vv+Y=")</f>
        <v>#REF!</v>
      </c>
      <c r="HX26" t="e">
        <f>AND(#REF!,"AAAAAF3vv+c=")</f>
        <v>#REF!</v>
      </c>
      <c r="HY26" t="e">
        <f>AND(#REF!,"AAAAAF3vv+g=")</f>
        <v>#REF!</v>
      </c>
      <c r="HZ26" t="e">
        <f>AND(#REF!,"AAAAAF3vv+k=")</f>
        <v>#REF!</v>
      </c>
      <c r="IA26" t="e">
        <f>AND(#REF!,"AAAAAF3vv+o=")</f>
        <v>#REF!</v>
      </c>
      <c r="IB26" t="e">
        <f>AND(#REF!,"AAAAAF3vv+s=")</f>
        <v>#REF!</v>
      </c>
      <c r="IC26" t="e">
        <f>AND(#REF!,"AAAAAF3vv+w=")</f>
        <v>#REF!</v>
      </c>
      <c r="ID26" t="e">
        <f>AND(#REF!,"AAAAAF3vv+0=")</f>
        <v>#REF!</v>
      </c>
      <c r="IE26" t="e">
        <f>AND(#REF!,"AAAAAF3vv+4=")</f>
        <v>#REF!</v>
      </c>
      <c r="IF26" t="e">
        <f>AND(#REF!,"AAAAAF3vv+8=")</f>
        <v>#REF!</v>
      </c>
      <c r="IG26" t="e">
        <f>AND(#REF!,"AAAAAF3vv/A=")</f>
        <v>#REF!</v>
      </c>
      <c r="IH26" t="e">
        <f>AND(#REF!,"AAAAAF3vv/E=")</f>
        <v>#REF!</v>
      </c>
      <c r="II26" t="e">
        <f>AND(#REF!,"AAAAAF3vv/I=")</f>
        <v>#REF!</v>
      </c>
      <c r="IJ26" t="e">
        <f>AND(#REF!,"AAAAAF3vv/M=")</f>
        <v>#REF!</v>
      </c>
      <c r="IK26" t="e">
        <f>IF(#REF!,"AAAAAF3vv/Q=",0)</f>
        <v>#REF!</v>
      </c>
      <c r="IL26" t="e">
        <f>AND(#REF!,"AAAAAF3vv/U=")</f>
        <v>#REF!</v>
      </c>
      <c r="IM26" t="e">
        <f>AND(#REF!,"AAAAAF3vv/Y=")</f>
        <v>#REF!</v>
      </c>
      <c r="IN26" t="e">
        <f>AND(#REF!,"AAAAAF3vv/c=")</f>
        <v>#REF!</v>
      </c>
      <c r="IO26" t="e">
        <f>AND(#REF!,"AAAAAF3vv/g=")</f>
        <v>#REF!</v>
      </c>
      <c r="IP26" t="e">
        <f>AND(#REF!,"AAAAAF3vv/k=")</f>
        <v>#REF!</v>
      </c>
      <c r="IQ26" t="e">
        <f>AND(#REF!,"AAAAAF3vv/o=")</f>
        <v>#REF!</v>
      </c>
      <c r="IR26" t="e">
        <f>AND(#REF!,"AAAAAF3vv/s=")</f>
        <v>#REF!</v>
      </c>
      <c r="IS26" t="e">
        <f>AND(#REF!,"AAAAAF3vv/w=")</f>
        <v>#REF!</v>
      </c>
      <c r="IT26" t="e">
        <f>AND(#REF!,"AAAAAF3vv/0=")</f>
        <v>#REF!</v>
      </c>
      <c r="IU26" t="e">
        <f>AND(#REF!,"AAAAAF3vv/4=")</f>
        <v>#REF!</v>
      </c>
      <c r="IV26" t="e">
        <f>AND(#REF!,"AAAAAF3vv/8=")</f>
        <v>#REF!</v>
      </c>
    </row>
    <row r="27" spans="1:256" x14ac:dyDescent="0.25">
      <c r="A27" t="e">
        <f>AND(#REF!,"AAAAAH/9iwA=")</f>
        <v>#REF!</v>
      </c>
      <c r="B27" t="e">
        <f>AND(#REF!,"AAAAAH/9iwE=")</f>
        <v>#REF!</v>
      </c>
      <c r="C27" t="e">
        <f>AND(#REF!,"AAAAAH/9iwI=")</f>
        <v>#REF!</v>
      </c>
      <c r="D27" t="e">
        <f>IF(#REF!,"AAAAAH/9iwM=",0)</f>
        <v>#REF!</v>
      </c>
      <c r="E27" t="e">
        <f>AND(#REF!,"AAAAAH/9iwQ=")</f>
        <v>#REF!</v>
      </c>
      <c r="F27" t="e">
        <f>AND(#REF!,"AAAAAH/9iwU=")</f>
        <v>#REF!</v>
      </c>
      <c r="G27" t="e">
        <f>AND(#REF!,"AAAAAH/9iwY=")</f>
        <v>#REF!</v>
      </c>
      <c r="H27" t="e">
        <f>AND(#REF!,"AAAAAH/9iwc=")</f>
        <v>#REF!</v>
      </c>
      <c r="I27" t="e">
        <f>AND(#REF!,"AAAAAH/9iwg=")</f>
        <v>#REF!</v>
      </c>
      <c r="J27" t="e">
        <f>AND(#REF!,"AAAAAH/9iwk=")</f>
        <v>#REF!</v>
      </c>
      <c r="K27" t="e">
        <f>AND(#REF!,"AAAAAH/9iwo=")</f>
        <v>#REF!</v>
      </c>
      <c r="L27" t="e">
        <f>AND(#REF!,"AAAAAH/9iws=")</f>
        <v>#REF!</v>
      </c>
      <c r="M27" t="e">
        <f>AND(#REF!,"AAAAAH/9iww=")</f>
        <v>#REF!</v>
      </c>
      <c r="N27" t="e">
        <f>AND(#REF!,"AAAAAH/9iw0=")</f>
        <v>#REF!</v>
      </c>
      <c r="O27" t="e">
        <f>AND(#REF!,"AAAAAH/9iw4=")</f>
        <v>#REF!</v>
      </c>
      <c r="P27" t="e">
        <f>AND(#REF!,"AAAAAH/9iw8=")</f>
        <v>#REF!</v>
      </c>
      <c r="Q27" t="e">
        <f>AND(#REF!,"AAAAAH/9ixA=")</f>
        <v>#REF!</v>
      </c>
      <c r="R27" t="e">
        <f>AND(#REF!,"AAAAAH/9ixE=")</f>
        <v>#REF!</v>
      </c>
      <c r="S27" t="e">
        <f>IF(#REF!,"AAAAAH/9ixI=",0)</f>
        <v>#REF!</v>
      </c>
      <c r="T27" t="e">
        <f>AND(#REF!,"AAAAAH/9ixM=")</f>
        <v>#REF!</v>
      </c>
      <c r="U27" t="e">
        <f>AND(#REF!,"AAAAAH/9ixQ=")</f>
        <v>#REF!</v>
      </c>
      <c r="V27" t="e">
        <f>AND(#REF!,"AAAAAH/9ixU=")</f>
        <v>#REF!</v>
      </c>
      <c r="W27" t="e">
        <f>AND(#REF!,"AAAAAH/9ixY=")</f>
        <v>#REF!</v>
      </c>
      <c r="X27" t="e">
        <f>AND(#REF!,"AAAAAH/9ixc=")</f>
        <v>#REF!</v>
      </c>
      <c r="Y27" t="e">
        <f>AND(#REF!,"AAAAAH/9ixg=")</f>
        <v>#REF!</v>
      </c>
      <c r="Z27" t="e">
        <f>AND(#REF!,"AAAAAH/9ixk=")</f>
        <v>#REF!</v>
      </c>
      <c r="AA27" t="e">
        <f>AND(#REF!,"AAAAAH/9ixo=")</f>
        <v>#REF!</v>
      </c>
      <c r="AB27" t="e">
        <f>AND(#REF!,"AAAAAH/9ixs=")</f>
        <v>#REF!</v>
      </c>
      <c r="AC27" t="e">
        <f>AND(#REF!,"AAAAAH/9ixw=")</f>
        <v>#REF!</v>
      </c>
      <c r="AD27" t="e">
        <f>AND(#REF!,"AAAAAH/9ix0=")</f>
        <v>#REF!</v>
      </c>
      <c r="AE27" t="e">
        <f>AND(#REF!,"AAAAAH/9ix4=")</f>
        <v>#REF!</v>
      </c>
      <c r="AF27" t="e">
        <f>AND(#REF!,"AAAAAH/9ix8=")</f>
        <v>#REF!</v>
      </c>
      <c r="AG27" t="e">
        <f>AND(#REF!,"AAAAAH/9iyA=")</f>
        <v>#REF!</v>
      </c>
      <c r="AH27" t="e">
        <f>IF(#REF!,"AAAAAH/9iyE=",0)</f>
        <v>#REF!</v>
      </c>
      <c r="AI27" t="e">
        <f>AND(#REF!,"AAAAAH/9iyI=")</f>
        <v>#REF!</v>
      </c>
      <c r="AJ27" t="e">
        <f>AND(#REF!,"AAAAAH/9iyM=")</f>
        <v>#REF!</v>
      </c>
      <c r="AK27" t="e">
        <f>AND(#REF!,"AAAAAH/9iyQ=")</f>
        <v>#REF!</v>
      </c>
      <c r="AL27" t="e">
        <f>AND(#REF!,"AAAAAH/9iyU=")</f>
        <v>#REF!</v>
      </c>
      <c r="AM27" t="e">
        <f>AND(#REF!,"AAAAAH/9iyY=")</f>
        <v>#REF!</v>
      </c>
      <c r="AN27" t="e">
        <f>AND(#REF!,"AAAAAH/9iyc=")</f>
        <v>#REF!</v>
      </c>
      <c r="AO27" t="e">
        <f>AND(#REF!,"AAAAAH/9iyg=")</f>
        <v>#REF!</v>
      </c>
      <c r="AP27" t="e">
        <f>AND(#REF!,"AAAAAH/9iyk=")</f>
        <v>#REF!</v>
      </c>
      <c r="AQ27" t="e">
        <f>AND(#REF!,"AAAAAH/9iyo=")</f>
        <v>#REF!</v>
      </c>
      <c r="AR27" t="e">
        <f>AND(#REF!,"AAAAAH/9iys=")</f>
        <v>#REF!</v>
      </c>
      <c r="AS27" t="e">
        <f>AND(#REF!,"AAAAAH/9iyw=")</f>
        <v>#REF!</v>
      </c>
      <c r="AT27" t="e">
        <f>AND(#REF!,"AAAAAH/9iy0=")</f>
        <v>#REF!</v>
      </c>
      <c r="AU27" t="e">
        <f>AND(#REF!,"AAAAAH/9iy4=")</f>
        <v>#REF!</v>
      </c>
      <c r="AV27" t="e">
        <f>AND(#REF!,"AAAAAH/9iy8=")</f>
        <v>#REF!</v>
      </c>
      <c r="AW27" t="e">
        <f>IF(#REF!,"AAAAAH/9izA=",0)</f>
        <v>#REF!</v>
      </c>
      <c r="AX27" t="e">
        <f>AND(#REF!,"AAAAAH/9izE=")</f>
        <v>#REF!</v>
      </c>
      <c r="AY27" t="e">
        <f>AND(#REF!,"AAAAAH/9izI=")</f>
        <v>#REF!</v>
      </c>
      <c r="AZ27" t="e">
        <f>AND(#REF!,"AAAAAH/9izM=")</f>
        <v>#REF!</v>
      </c>
      <c r="BA27" t="e">
        <f>AND(#REF!,"AAAAAH/9izQ=")</f>
        <v>#REF!</v>
      </c>
      <c r="BB27" t="e">
        <f>AND(#REF!,"AAAAAH/9izU=")</f>
        <v>#REF!</v>
      </c>
      <c r="BC27" t="e">
        <f>AND(#REF!,"AAAAAH/9izY=")</f>
        <v>#REF!</v>
      </c>
      <c r="BD27" t="e">
        <f>AND(#REF!,"AAAAAH/9izc=")</f>
        <v>#REF!</v>
      </c>
      <c r="BE27" t="e">
        <f>AND(#REF!,"AAAAAH/9izg=")</f>
        <v>#REF!</v>
      </c>
      <c r="BF27" t="e">
        <f>AND(#REF!,"AAAAAH/9izk=")</f>
        <v>#REF!</v>
      </c>
      <c r="BG27" t="e">
        <f>AND(#REF!,"AAAAAH/9izo=")</f>
        <v>#REF!</v>
      </c>
      <c r="BH27" t="e">
        <f>AND(#REF!,"AAAAAH/9izs=")</f>
        <v>#REF!</v>
      </c>
      <c r="BI27" t="e">
        <f>AND(#REF!,"AAAAAH/9izw=")</f>
        <v>#REF!</v>
      </c>
      <c r="BJ27" t="e">
        <f>AND(#REF!,"AAAAAH/9iz0=")</f>
        <v>#REF!</v>
      </c>
      <c r="BK27" t="e">
        <f>AND(#REF!,"AAAAAH/9iz4=")</f>
        <v>#REF!</v>
      </c>
      <c r="BL27" t="e">
        <f>IF(#REF!,"AAAAAH/9iz8=",0)</f>
        <v>#REF!</v>
      </c>
      <c r="BM27" t="e">
        <f>AND(#REF!,"AAAAAH/9i0A=")</f>
        <v>#REF!</v>
      </c>
      <c r="BN27" t="e">
        <f>AND(#REF!,"AAAAAH/9i0E=")</f>
        <v>#REF!</v>
      </c>
      <c r="BO27" t="e">
        <f>AND(#REF!,"AAAAAH/9i0I=")</f>
        <v>#REF!</v>
      </c>
      <c r="BP27" t="e">
        <f>AND(#REF!,"AAAAAH/9i0M=")</f>
        <v>#REF!</v>
      </c>
      <c r="BQ27" t="e">
        <f>AND(#REF!,"AAAAAH/9i0Q=")</f>
        <v>#REF!</v>
      </c>
      <c r="BR27" t="e">
        <f>AND(#REF!,"AAAAAH/9i0U=")</f>
        <v>#REF!</v>
      </c>
      <c r="BS27" t="e">
        <f>AND(#REF!,"AAAAAH/9i0Y=")</f>
        <v>#REF!</v>
      </c>
      <c r="BT27" t="e">
        <f>AND(#REF!,"AAAAAH/9i0c=")</f>
        <v>#REF!</v>
      </c>
      <c r="BU27" t="e">
        <f>AND(#REF!,"AAAAAH/9i0g=")</f>
        <v>#REF!</v>
      </c>
      <c r="BV27" t="e">
        <f>AND(#REF!,"AAAAAH/9i0k=")</f>
        <v>#REF!</v>
      </c>
      <c r="BW27" t="e">
        <f>AND(#REF!,"AAAAAH/9i0o=")</f>
        <v>#REF!</v>
      </c>
      <c r="BX27" t="e">
        <f>AND(#REF!,"AAAAAH/9i0s=")</f>
        <v>#REF!</v>
      </c>
      <c r="BY27" t="e">
        <f>AND(#REF!,"AAAAAH/9i0w=")</f>
        <v>#REF!</v>
      </c>
      <c r="BZ27" t="e">
        <f>AND(#REF!,"AAAAAH/9i00=")</f>
        <v>#REF!</v>
      </c>
      <c r="CA27" t="e">
        <f>IF(#REF!,"AAAAAH/9i04=",0)</f>
        <v>#REF!</v>
      </c>
      <c r="CB27" t="e">
        <f>IF(#REF!,"AAAAAH/9i08=",0)</f>
        <v>#REF!</v>
      </c>
      <c r="CC27" t="e">
        <f>IF(#REF!,"AAAAAH/9i1A=",0)</f>
        <v>#REF!</v>
      </c>
      <c r="CD27" t="e">
        <f>IF(#REF!,"AAAAAH/9i1E=",0)</f>
        <v>#REF!</v>
      </c>
      <c r="CE27" t="e">
        <f>IF(#REF!,"AAAAAH/9i1I=",0)</f>
        <v>#REF!</v>
      </c>
      <c r="CF27" t="e">
        <f>IF(#REF!,"AAAAAH/9i1M=",0)</f>
        <v>#REF!</v>
      </c>
      <c r="CG27" t="e">
        <f>IF(#REF!,"AAAAAH/9i1Q=",0)</f>
        <v>#REF!</v>
      </c>
      <c r="CH27" t="e">
        <f>IF(#REF!,"AAAAAH/9i1U=",0)</f>
        <v>#REF!</v>
      </c>
      <c r="CI27" t="e">
        <f>IF(#REF!,"AAAAAH/9i1Y=",0)</f>
        <v>#REF!</v>
      </c>
      <c r="CJ27" t="e">
        <f>IF(#REF!,"AAAAAH/9i1c=",0)</f>
        <v>#REF!</v>
      </c>
      <c r="CK27" t="e">
        <f>IF(#REF!,"AAAAAH/9i1g=",0)</f>
        <v>#REF!</v>
      </c>
      <c r="CL27" t="e">
        <f>IF(#REF!,"AAAAAH/9i1k=",0)</f>
        <v>#REF!</v>
      </c>
      <c r="CM27" t="e">
        <f>IF(#REF!,"AAAAAH/9i1o=",0)</f>
        <v>#REF!</v>
      </c>
      <c r="CN27" t="e">
        <f>IF(#REF!,"AAAAAH/9i1s=",0)</f>
        <v>#REF!</v>
      </c>
      <c r="CO27" t="e">
        <f>IF(#REF!,"AAAAAH/9i1w=",0)</f>
        <v>#REF!</v>
      </c>
      <c r="CP27" t="e">
        <f>IF(#REF!,"AAAAAH/9i10=",0)</f>
        <v>#REF!</v>
      </c>
      <c r="CQ27" t="e">
        <f>IF(#REF!,"AAAAAH/9i14=",0)</f>
        <v>#REF!</v>
      </c>
      <c r="CR27" t="e">
        <f>IF(#REF!,"AAAAAH/9i18=",0)</f>
        <v>#REF!</v>
      </c>
      <c r="CS27" t="e">
        <f>IF(#REF!,"AAAAAH/9i2A=",0)</f>
        <v>#REF!</v>
      </c>
      <c r="CT27" t="e">
        <f>IF(#REF!,"AAAAAH/9i2E=",0)</f>
        <v>#REF!</v>
      </c>
      <c r="CU27" t="e">
        <f>IF(#REF!,"AAAAAH/9i2I=",0)</f>
        <v>#REF!</v>
      </c>
      <c r="CV27" t="e">
        <f>IF(#REF!,"AAAAAH/9i2M=",0)</f>
        <v>#REF!</v>
      </c>
      <c r="CW27" t="e">
        <f>IF(#REF!,"AAAAAH/9i2Q=",0)</f>
        <v>#REF!</v>
      </c>
      <c r="CX27">
        <f>IF('4'!1:1,"AAAAAH/9i2U=",0)</f>
        <v>0</v>
      </c>
      <c r="CY27" t="e">
        <f>AND('4'!#REF!,"AAAAAH/9i2Y=")</f>
        <v>#REF!</v>
      </c>
      <c r="CZ27" t="e">
        <f>AND('4'!A1,"AAAAAH/9i2c=")</f>
        <v>#VALUE!</v>
      </c>
      <c r="DA27" t="e">
        <f>AND('4'!B1,"AAAAAH/9i2g=")</f>
        <v>#VALUE!</v>
      </c>
      <c r="DB27" t="e">
        <f>AND('4'!C1,"AAAAAH/9i2k=")</f>
        <v>#VALUE!</v>
      </c>
      <c r="DC27" t="e">
        <f>AND('4'!D1,"AAAAAH/9i2o=")</f>
        <v>#VALUE!</v>
      </c>
      <c r="DD27" t="e">
        <f>AND('4'!E1,"AAAAAH/9i2s=")</f>
        <v>#VALUE!</v>
      </c>
      <c r="DE27" t="e">
        <f>AND('4'!F1,"AAAAAH/9i2w=")</f>
        <v>#VALUE!</v>
      </c>
      <c r="DF27" t="e">
        <f>AND('4'!G1,"AAAAAH/9i20=")</f>
        <v>#VALUE!</v>
      </c>
      <c r="DG27" t="e">
        <f>AND('4'!H1,"AAAAAH/9i24=")</f>
        <v>#VALUE!</v>
      </c>
      <c r="DH27" t="e">
        <f>AND('4'!I1,"AAAAAH/9i28=")</f>
        <v>#VALUE!</v>
      </c>
      <c r="DI27" t="e">
        <f>AND('4'!J1,"AAAAAH/9i3A=")</f>
        <v>#VALUE!</v>
      </c>
      <c r="DJ27" t="e">
        <f>AND('4'!#REF!,"AAAAAH/9i3E=")</f>
        <v>#REF!</v>
      </c>
      <c r="DK27" t="e">
        <f>AND('4'!#REF!,"AAAAAH/9i3I=")</f>
        <v>#REF!</v>
      </c>
      <c r="DL27" t="e">
        <f>AND('4'!#REF!,"AAAAAH/9i3M=")</f>
        <v>#REF!</v>
      </c>
      <c r="DM27" t="e">
        <f>AND('4'!#REF!,"AAAAAH/9i3Q=")</f>
        <v>#REF!</v>
      </c>
      <c r="DN27" t="e">
        <f>AND('4'!#REF!,"AAAAAH/9i3U=")</f>
        <v>#REF!</v>
      </c>
      <c r="DO27" t="e">
        <f>AND('4'!#REF!,"AAAAAH/9i3Y=")</f>
        <v>#REF!</v>
      </c>
      <c r="DP27" t="e">
        <f>AND('4'!K1,"AAAAAH/9i3c=")</f>
        <v>#VALUE!</v>
      </c>
      <c r="DQ27" t="e">
        <f>AND('4'!#REF!,"AAAAAH/9i3g=")</f>
        <v>#REF!</v>
      </c>
      <c r="DR27" t="e">
        <f>AND('4'!#REF!,"AAAAAH/9i3k=")</f>
        <v>#REF!</v>
      </c>
      <c r="DS27">
        <f>IF('4'!2:2,"AAAAAH/9i3o=",0)</f>
        <v>0</v>
      </c>
      <c r="DT27" t="e">
        <f>AND('4'!#REF!,"AAAAAH/9i3s=")</f>
        <v>#REF!</v>
      </c>
      <c r="DU27" t="e">
        <f>AND('4'!A2,"AAAAAH/9i3w=")</f>
        <v>#VALUE!</v>
      </c>
      <c r="DV27" t="e">
        <f>AND('4'!B2,"AAAAAH/9i30=")</f>
        <v>#VALUE!</v>
      </c>
      <c r="DW27" t="e">
        <f>AND('4'!C2,"AAAAAH/9i34=")</f>
        <v>#VALUE!</v>
      </c>
      <c r="DX27" t="e">
        <f>AND('4'!D2,"AAAAAH/9i38=")</f>
        <v>#VALUE!</v>
      </c>
      <c r="DY27" t="e">
        <f>AND('4'!E2,"AAAAAH/9i4A=")</f>
        <v>#VALUE!</v>
      </c>
      <c r="DZ27" t="e">
        <f>AND('4'!F2,"AAAAAH/9i4E=")</f>
        <v>#VALUE!</v>
      </c>
      <c r="EA27" t="e">
        <f>AND('4'!G2,"AAAAAH/9i4I=")</f>
        <v>#VALUE!</v>
      </c>
      <c r="EB27" t="e">
        <f>AND('4'!H2,"AAAAAH/9i4M=")</f>
        <v>#VALUE!</v>
      </c>
      <c r="EC27" t="e">
        <f>AND('4'!I2,"AAAAAH/9i4Q=")</f>
        <v>#VALUE!</v>
      </c>
      <c r="ED27" t="e">
        <f>AND('4'!J2,"AAAAAH/9i4U=")</f>
        <v>#VALUE!</v>
      </c>
      <c r="EE27" t="e">
        <f>AND('4'!#REF!,"AAAAAH/9i4Y=")</f>
        <v>#REF!</v>
      </c>
      <c r="EF27" t="e">
        <f>AND('4'!#REF!,"AAAAAH/9i4c=")</f>
        <v>#REF!</v>
      </c>
      <c r="EG27" t="e">
        <f>AND('4'!#REF!,"AAAAAH/9i4g=")</f>
        <v>#REF!</v>
      </c>
      <c r="EH27" t="e">
        <f>AND('4'!#REF!,"AAAAAH/9i4k=")</f>
        <v>#REF!</v>
      </c>
      <c r="EI27" t="e">
        <f>AND('4'!#REF!,"AAAAAH/9i4o=")</f>
        <v>#REF!</v>
      </c>
      <c r="EJ27" t="e">
        <f>AND('4'!#REF!,"AAAAAH/9i4s=")</f>
        <v>#REF!</v>
      </c>
      <c r="EK27" t="e">
        <f>AND('4'!K2,"AAAAAH/9i4w=")</f>
        <v>#VALUE!</v>
      </c>
      <c r="EL27" t="e">
        <f>AND('4'!#REF!,"AAAAAH/9i40=")</f>
        <v>#REF!</v>
      </c>
      <c r="EM27" t="e">
        <f>AND('4'!#REF!,"AAAAAH/9i44=")</f>
        <v>#REF!</v>
      </c>
      <c r="EN27">
        <f>IF('4'!3:3,"AAAAAH/9i48=",0)</f>
        <v>0</v>
      </c>
      <c r="EO27" t="e">
        <f>AND('4'!#REF!,"AAAAAH/9i5A=")</f>
        <v>#REF!</v>
      </c>
      <c r="EP27" t="e">
        <f>AND('4'!A3,"AAAAAH/9i5E=")</f>
        <v>#VALUE!</v>
      </c>
      <c r="EQ27" t="e">
        <f>AND('4'!B3,"AAAAAH/9i5I=")</f>
        <v>#VALUE!</v>
      </c>
      <c r="ER27" t="e">
        <f>AND('4'!C3,"AAAAAH/9i5M=")</f>
        <v>#VALUE!</v>
      </c>
      <c r="ES27" t="e">
        <f>AND('4'!D3,"AAAAAH/9i5Q=")</f>
        <v>#VALUE!</v>
      </c>
      <c r="ET27" t="e">
        <f>AND('4'!E3,"AAAAAH/9i5U=")</f>
        <v>#VALUE!</v>
      </c>
      <c r="EU27" t="e">
        <f>AND('4'!F3,"AAAAAH/9i5Y=")</f>
        <v>#VALUE!</v>
      </c>
      <c r="EV27" t="e">
        <f>AND('4'!G3,"AAAAAH/9i5c=")</f>
        <v>#VALUE!</v>
      </c>
      <c r="EW27" t="e">
        <f>AND('4'!H3,"AAAAAH/9i5g=")</f>
        <v>#VALUE!</v>
      </c>
      <c r="EX27" t="e">
        <f>AND('4'!I3,"AAAAAH/9i5k=")</f>
        <v>#VALUE!</v>
      </c>
      <c r="EY27" t="e">
        <f>AND('4'!J3,"AAAAAH/9i5o=")</f>
        <v>#VALUE!</v>
      </c>
      <c r="EZ27" t="e">
        <f>AND('4'!#REF!,"AAAAAH/9i5s=")</f>
        <v>#REF!</v>
      </c>
      <c r="FA27" t="e">
        <f>AND('4'!#REF!,"AAAAAH/9i5w=")</f>
        <v>#REF!</v>
      </c>
      <c r="FB27" t="e">
        <f>AND('4'!#REF!,"AAAAAH/9i50=")</f>
        <v>#REF!</v>
      </c>
      <c r="FC27" t="e">
        <f>AND('4'!#REF!,"AAAAAH/9i54=")</f>
        <v>#REF!</v>
      </c>
      <c r="FD27" t="e">
        <f>AND('4'!#REF!,"AAAAAH/9i58=")</f>
        <v>#REF!</v>
      </c>
      <c r="FE27" t="e">
        <f>AND('4'!#REF!,"AAAAAH/9i6A=")</f>
        <v>#REF!</v>
      </c>
      <c r="FF27" t="e">
        <f>AND('4'!K3,"AAAAAH/9i6E=")</f>
        <v>#VALUE!</v>
      </c>
      <c r="FG27" t="e">
        <f>AND('4'!#REF!,"AAAAAH/9i6I=")</f>
        <v>#REF!</v>
      </c>
      <c r="FH27" t="e">
        <f>AND('4'!#REF!,"AAAAAH/9i6M=")</f>
        <v>#REF!</v>
      </c>
      <c r="FI27">
        <f>IF('4'!4:4,"AAAAAH/9i6Q=",0)</f>
        <v>0</v>
      </c>
      <c r="FJ27" t="e">
        <f>AND('4'!#REF!,"AAAAAH/9i6U=")</f>
        <v>#REF!</v>
      </c>
      <c r="FK27" t="e">
        <f>AND('4'!A4,"AAAAAH/9i6Y=")</f>
        <v>#VALUE!</v>
      </c>
      <c r="FL27" t="e">
        <f>AND('4'!B4,"AAAAAH/9i6c=")</f>
        <v>#VALUE!</v>
      </c>
      <c r="FM27" t="e">
        <f>AND('4'!C4,"AAAAAH/9i6g=")</f>
        <v>#VALUE!</v>
      </c>
      <c r="FN27" t="e">
        <f>AND('4'!D4,"AAAAAH/9i6k=")</f>
        <v>#VALUE!</v>
      </c>
      <c r="FO27" t="e">
        <f>AND('4'!E4,"AAAAAH/9i6o=")</f>
        <v>#VALUE!</v>
      </c>
      <c r="FP27" t="e">
        <f>AND('4'!F4,"AAAAAH/9i6s=")</f>
        <v>#VALUE!</v>
      </c>
      <c r="FQ27" t="e">
        <f>AND('4'!G4,"AAAAAH/9i6w=")</f>
        <v>#VALUE!</v>
      </c>
      <c r="FR27" t="e">
        <f>AND('4'!H4,"AAAAAH/9i60=")</f>
        <v>#VALUE!</v>
      </c>
      <c r="FS27" t="e">
        <f>AND('4'!I4,"AAAAAH/9i64=")</f>
        <v>#VALUE!</v>
      </c>
      <c r="FT27" t="e">
        <f>AND('4'!J4,"AAAAAH/9i68=")</f>
        <v>#VALUE!</v>
      </c>
      <c r="FU27" t="e">
        <f>AND('4'!#REF!,"AAAAAH/9i7A=")</f>
        <v>#REF!</v>
      </c>
      <c r="FV27" t="e">
        <f>AND('4'!#REF!,"AAAAAH/9i7E=")</f>
        <v>#REF!</v>
      </c>
      <c r="FW27" t="e">
        <f>AND('4'!#REF!,"AAAAAH/9i7I=")</f>
        <v>#REF!</v>
      </c>
      <c r="FX27" t="e">
        <f>AND('4'!#REF!,"AAAAAH/9i7M=")</f>
        <v>#REF!</v>
      </c>
      <c r="FY27" t="e">
        <f>AND('4'!#REF!,"AAAAAH/9i7Q=")</f>
        <v>#REF!</v>
      </c>
      <c r="FZ27" t="e">
        <f>AND('4'!#REF!,"AAAAAH/9i7U=")</f>
        <v>#REF!</v>
      </c>
      <c r="GA27" t="e">
        <f>AND('4'!K4,"AAAAAH/9i7Y=")</f>
        <v>#VALUE!</v>
      </c>
      <c r="GB27" t="e">
        <f>AND('4'!#REF!,"AAAAAH/9i7c=")</f>
        <v>#REF!</v>
      </c>
      <c r="GC27" t="e">
        <f>AND('4'!#REF!,"AAAAAH/9i7g=")</f>
        <v>#REF!</v>
      </c>
      <c r="GD27">
        <f>IF('4'!5:5,"AAAAAH/9i7k=",0)</f>
        <v>0</v>
      </c>
      <c r="GE27" t="e">
        <f>AND('4'!#REF!,"AAAAAH/9i7o=")</f>
        <v>#REF!</v>
      </c>
      <c r="GF27" t="e">
        <f>AND('4'!A5,"AAAAAH/9i7s=")</f>
        <v>#VALUE!</v>
      </c>
      <c r="GG27" t="e">
        <f>AND('4'!B5,"AAAAAH/9i7w=")</f>
        <v>#VALUE!</v>
      </c>
      <c r="GH27" t="e">
        <f>AND('4'!C5,"AAAAAH/9i70=")</f>
        <v>#VALUE!</v>
      </c>
      <c r="GI27" t="e">
        <f>AND('4'!D5,"AAAAAH/9i74=")</f>
        <v>#VALUE!</v>
      </c>
      <c r="GJ27" t="e">
        <f>AND('4'!E5,"AAAAAH/9i78=")</f>
        <v>#VALUE!</v>
      </c>
      <c r="GK27" t="e">
        <f>AND('4'!F5,"AAAAAH/9i8A=")</f>
        <v>#VALUE!</v>
      </c>
      <c r="GL27" t="e">
        <f>AND('4'!G5,"AAAAAH/9i8E=")</f>
        <v>#VALUE!</v>
      </c>
      <c r="GM27" t="e">
        <f>AND('4'!H5,"AAAAAH/9i8I=")</f>
        <v>#VALUE!</v>
      </c>
      <c r="GN27" t="e">
        <f>AND('4'!I5,"AAAAAH/9i8M=")</f>
        <v>#VALUE!</v>
      </c>
      <c r="GO27" t="e">
        <f>AND('4'!J5,"AAAAAH/9i8Q=")</f>
        <v>#VALUE!</v>
      </c>
      <c r="GP27" t="e">
        <f>AND('4'!#REF!,"AAAAAH/9i8U=")</f>
        <v>#REF!</v>
      </c>
      <c r="GQ27" t="e">
        <f>AND('4'!#REF!,"AAAAAH/9i8Y=")</f>
        <v>#REF!</v>
      </c>
      <c r="GR27" t="e">
        <f>AND('4'!#REF!,"AAAAAH/9i8c=")</f>
        <v>#REF!</v>
      </c>
      <c r="GS27" t="e">
        <f>AND('4'!#REF!,"AAAAAH/9i8g=")</f>
        <v>#REF!</v>
      </c>
      <c r="GT27" t="e">
        <f>AND('4'!#REF!,"AAAAAH/9i8k=")</f>
        <v>#REF!</v>
      </c>
      <c r="GU27" t="e">
        <f>AND('4'!#REF!,"AAAAAH/9i8o=")</f>
        <v>#REF!</v>
      </c>
      <c r="GV27" t="e">
        <f>AND('4'!K5,"AAAAAH/9i8s=")</f>
        <v>#VALUE!</v>
      </c>
      <c r="GW27" t="e">
        <f>AND('4'!#REF!,"AAAAAH/9i8w=")</f>
        <v>#REF!</v>
      </c>
      <c r="GX27" t="e">
        <f>AND('4'!#REF!,"AAAAAH/9i80=")</f>
        <v>#REF!</v>
      </c>
      <c r="GY27">
        <f>IF('4'!6:6,"AAAAAH/9i84=",0)</f>
        <v>0</v>
      </c>
      <c r="GZ27" t="e">
        <f>AND('4'!#REF!,"AAAAAH/9i88=")</f>
        <v>#REF!</v>
      </c>
      <c r="HA27" t="e">
        <f>AND('4'!A6,"AAAAAH/9i9A=")</f>
        <v>#VALUE!</v>
      </c>
      <c r="HB27" t="e">
        <f>AND('4'!B6,"AAAAAH/9i9E=")</f>
        <v>#VALUE!</v>
      </c>
      <c r="HC27" t="e">
        <f>AND('4'!C6,"AAAAAH/9i9I=")</f>
        <v>#VALUE!</v>
      </c>
      <c r="HD27" t="e">
        <f>AND('4'!D6,"AAAAAH/9i9M=")</f>
        <v>#VALUE!</v>
      </c>
      <c r="HE27" t="e">
        <f>AND('4'!E6,"AAAAAH/9i9Q=")</f>
        <v>#VALUE!</v>
      </c>
      <c r="HF27" t="e">
        <f>AND('4'!F6,"AAAAAH/9i9U=")</f>
        <v>#VALUE!</v>
      </c>
      <c r="HG27" t="e">
        <f>AND('4'!G6,"AAAAAH/9i9Y=")</f>
        <v>#VALUE!</v>
      </c>
      <c r="HH27" t="e">
        <f>AND('4'!H6,"AAAAAH/9i9c=")</f>
        <v>#VALUE!</v>
      </c>
      <c r="HI27" t="e">
        <f>AND('4'!I6,"AAAAAH/9i9g=")</f>
        <v>#VALUE!</v>
      </c>
      <c r="HJ27" t="e">
        <f>AND('4'!J6,"AAAAAH/9i9k=")</f>
        <v>#VALUE!</v>
      </c>
      <c r="HK27" t="e">
        <f>AND('4'!#REF!,"AAAAAH/9i9o=")</f>
        <v>#REF!</v>
      </c>
      <c r="HL27" t="e">
        <f>AND('4'!#REF!,"AAAAAH/9i9s=")</f>
        <v>#REF!</v>
      </c>
      <c r="HM27" t="e">
        <f>AND('4'!#REF!,"AAAAAH/9i9w=")</f>
        <v>#REF!</v>
      </c>
      <c r="HN27" t="e">
        <f>AND('4'!#REF!,"AAAAAH/9i90=")</f>
        <v>#REF!</v>
      </c>
      <c r="HO27" t="e">
        <f>AND('4'!#REF!,"AAAAAH/9i94=")</f>
        <v>#REF!</v>
      </c>
      <c r="HP27" t="e">
        <f>AND('4'!#REF!,"AAAAAH/9i98=")</f>
        <v>#REF!</v>
      </c>
      <c r="HQ27" t="e">
        <f>AND('4'!K6,"AAAAAH/9i+A=")</f>
        <v>#VALUE!</v>
      </c>
      <c r="HR27" t="e">
        <f>AND('4'!#REF!,"AAAAAH/9i+E=")</f>
        <v>#REF!</v>
      </c>
      <c r="HS27" t="e">
        <f>AND('4'!#REF!,"AAAAAH/9i+I=")</f>
        <v>#REF!</v>
      </c>
      <c r="HT27">
        <f>IF('4'!7:7,"AAAAAH/9i+M=",0)</f>
        <v>0</v>
      </c>
      <c r="HU27" t="e">
        <f>AND('4'!#REF!,"AAAAAH/9i+Q=")</f>
        <v>#REF!</v>
      </c>
      <c r="HV27" t="e">
        <f>AND('4'!A7,"AAAAAH/9i+U=")</f>
        <v>#VALUE!</v>
      </c>
      <c r="HW27" t="e">
        <f>AND('4'!B7,"AAAAAH/9i+Y=")</f>
        <v>#VALUE!</v>
      </c>
      <c r="HX27" t="e">
        <f>AND('4'!C7,"AAAAAH/9i+c=")</f>
        <v>#VALUE!</v>
      </c>
      <c r="HY27" t="e">
        <f>AND('4'!D7,"AAAAAH/9i+g=")</f>
        <v>#VALUE!</v>
      </c>
      <c r="HZ27" t="e">
        <f>AND('4'!E7,"AAAAAH/9i+k=")</f>
        <v>#VALUE!</v>
      </c>
      <c r="IA27" t="e">
        <f>AND('4'!F7,"AAAAAH/9i+o=")</f>
        <v>#VALUE!</v>
      </c>
      <c r="IB27" t="e">
        <f>AND('4'!G7,"AAAAAH/9i+s=")</f>
        <v>#VALUE!</v>
      </c>
      <c r="IC27" t="e">
        <f>AND('4'!H7,"AAAAAH/9i+w=")</f>
        <v>#VALUE!</v>
      </c>
      <c r="ID27" t="e">
        <f>AND('4'!I7,"AAAAAH/9i+0=")</f>
        <v>#VALUE!</v>
      </c>
      <c r="IE27" t="e">
        <f>AND('4'!J7,"AAAAAH/9i+4=")</f>
        <v>#VALUE!</v>
      </c>
      <c r="IF27" t="e">
        <f>AND('4'!#REF!,"AAAAAH/9i+8=")</f>
        <v>#REF!</v>
      </c>
      <c r="IG27" t="e">
        <f>AND('4'!#REF!,"AAAAAH/9i/A=")</f>
        <v>#REF!</v>
      </c>
      <c r="IH27" t="e">
        <f>AND('4'!#REF!,"AAAAAH/9i/E=")</f>
        <v>#REF!</v>
      </c>
      <c r="II27" t="e">
        <f>AND('4'!#REF!,"AAAAAH/9i/I=")</f>
        <v>#REF!</v>
      </c>
      <c r="IJ27" t="e">
        <f>AND('4'!#REF!,"AAAAAH/9i/M=")</f>
        <v>#REF!</v>
      </c>
      <c r="IK27" t="e">
        <f>AND('4'!#REF!,"AAAAAH/9i/Q=")</f>
        <v>#REF!</v>
      </c>
      <c r="IL27" t="e">
        <f>AND('4'!K7,"AAAAAH/9i/U=")</f>
        <v>#VALUE!</v>
      </c>
      <c r="IM27" t="e">
        <f>AND('4'!#REF!,"AAAAAH/9i/Y=")</f>
        <v>#REF!</v>
      </c>
      <c r="IN27" t="e">
        <f>AND('4'!#REF!,"AAAAAH/9i/c=")</f>
        <v>#REF!</v>
      </c>
      <c r="IO27">
        <f>IF('4'!8:8,"AAAAAH/9i/g=",0)</f>
        <v>0</v>
      </c>
      <c r="IP27" t="e">
        <f>AND('4'!#REF!,"AAAAAH/9i/k=")</f>
        <v>#REF!</v>
      </c>
      <c r="IQ27" t="e">
        <f>AND('4'!A8,"AAAAAH/9i/o=")</f>
        <v>#VALUE!</v>
      </c>
      <c r="IR27" t="e">
        <f>AND('4'!B8,"AAAAAH/9i/s=")</f>
        <v>#VALUE!</v>
      </c>
      <c r="IS27" t="e">
        <f>AND('4'!C8,"AAAAAH/9i/w=")</f>
        <v>#VALUE!</v>
      </c>
      <c r="IT27" t="e">
        <f>AND('4'!D8,"AAAAAH/9i/0=")</f>
        <v>#VALUE!</v>
      </c>
      <c r="IU27" t="e">
        <f>AND('4'!E8,"AAAAAH/9i/4=")</f>
        <v>#VALUE!</v>
      </c>
      <c r="IV27" t="e">
        <f>AND('4'!F8,"AAAAAH/9i/8=")</f>
        <v>#VALUE!</v>
      </c>
    </row>
    <row r="28" spans="1:256" x14ac:dyDescent="0.25">
      <c r="A28" t="e">
        <f>AND('4'!G8,"AAAAABvnmwA=")</f>
        <v>#VALUE!</v>
      </c>
      <c r="B28" t="e">
        <f>AND('4'!H8,"AAAAABvnmwE=")</f>
        <v>#VALUE!</v>
      </c>
      <c r="C28" t="e">
        <f>AND('4'!I8,"AAAAABvnmwI=")</f>
        <v>#VALUE!</v>
      </c>
      <c r="D28" t="e">
        <f>AND('4'!J8,"AAAAABvnmwM=")</f>
        <v>#VALUE!</v>
      </c>
      <c r="E28" t="e">
        <f>AND('4'!#REF!,"AAAAABvnmwQ=")</f>
        <v>#REF!</v>
      </c>
      <c r="F28" t="e">
        <f>AND('4'!#REF!,"AAAAABvnmwU=")</f>
        <v>#REF!</v>
      </c>
      <c r="G28" t="e">
        <f>AND('4'!#REF!,"AAAAABvnmwY=")</f>
        <v>#REF!</v>
      </c>
      <c r="H28" t="e">
        <f>AND('4'!#REF!,"AAAAABvnmwc=")</f>
        <v>#REF!</v>
      </c>
      <c r="I28" t="e">
        <f>AND('4'!#REF!,"AAAAABvnmwg=")</f>
        <v>#REF!</v>
      </c>
      <c r="J28" t="e">
        <f>AND('4'!#REF!,"AAAAABvnmwk=")</f>
        <v>#REF!</v>
      </c>
      <c r="K28" t="e">
        <f>AND('4'!K8,"AAAAABvnmwo=")</f>
        <v>#VALUE!</v>
      </c>
      <c r="L28" t="e">
        <f>AND('4'!#REF!,"AAAAABvnmws=")</f>
        <v>#REF!</v>
      </c>
      <c r="M28" t="e">
        <f>AND('4'!#REF!,"AAAAABvnmww=")</f>
        <v>#REF!</v>
      </c>
      <c r="N28">
        <f>IF('4'!9:9,"AAAAABvnmw0=",0)</f>
        <v>0</v>
      </c>
      <c r="O28" t="e">
        <f>AND('4'!#REF!,"AAAAABvnmw4=")</f>
        <v>#REF!</v>
      </c>
      <c r="P28" t="e">
        <f>AND('4'!A9,"AAAAABvnmw8=")</f>
        <v>#VALUE!</v>
      </c>
      <c r="Q28" t="e">
        <f>AND('4'!B9,"AAAAABvnmxA=")</f>
        <v>#VALUE!</v>
      </c>
      <c r="R28" t="e">
        <f>AND('4'!C9,"AAAAABvnmxE=")</f>
        <v>#VALUE!</v>
      </c>
      <c r="S28" t="e">
        <f>AND('4'!D9,"AAAAABvnmxI=")</f>
        <v>#VALUE!</v>
      </c>
      <c r="T28" t="e">
        <f>AND('4'!E9,"AAAAABvnmxM=")</f>
        <v>#VALUE!</v>
      </c>
      <c r="U28" t="e">
        <f>AND('4'!F9,"AAAAABvnmxQ=")</f>
        <v>#VALUE!</v>
      </c>
      <c r="V28" t="e">
        <f>AND('4'!G9,"AAAAABvnmxU=")</f>
        <v>#VALUE!</v>
      </c>
      <c r="W28" t="e">
        <f>AND('4'!H9,"AAAAABvnmxY=")</f>
        <v>#VALUE!</v>
      </c>
      <c r="X28" t="e">
        <f>AND('4'!I9,"AAAAABvnmxc=")</f>
        <v>#VALUE!</v>
      </c>
      <c r="Y28" t="e">
        <f>AND('4'!J9,"AAAAABvnmxg=")</f>
        <v>#VALUE!</v>
      </c>
      <c r="Z28" t="e">
        <f>AND('4'!#REF!,"AAAAABvnmxk=")</f>
        <v>#REF!</v>
      </c>
      <c r="AA28" t="e">
        <f>AND('4'!#REF!,"AAAAABvnmxo=")</f>
        <v>#REF!</v>
      </c>
      <c r="AB28" t="e">
        <f>AND('4'!#REF!,"AAAAABvnmxs=")</f>
        <v>#REF!</v>
      </c>
      <c r="AC28" t="e">
        <f>AND('4'!#REF!,"AAAAABvnmxw=")</f>
        <v>#REF!</v>
      </c>
      <c r="AD28" t="e">
        <f>AND('4'!#REF!,"AAAAABvnmx0=")</f>
        <v>#REF!</v>
      </c>
      <c r="AE28" t="e">
        <f>AND('4'!#REF!,"AAAAABvnmx4=")</f>
        <v>#REF!</v>
      </c>
      <c r="AF28" t="e">
        <f>AND('4'!K9,"AAAAABvnmx8=")</f>
        <v>#VALUE!</v>
      </c>
      <c r="AG28" t="e">
        <f>AND('4'!#REF!,"AAAAABvnmyA=")</f>
        <v>#REF!</v>
      </c>
      <c r="AH28" t="e">
        <f>AND('4'!#REF!,"AAAAABvnmyE=")</f>
        <v>#REF!</v>
      </c>
      <c r="AI28">
        <f>IF('4'!10:10,"AAAAABvnmyI=",0)</f>
        <v>0</v>
      </c>
      <c r="AJ28" t="e">
        <f>AND('4'!#REF!,"AAAAABvnmyM=")</f>
        <v>#REF!</v>
      </c>
      <c r="AK28" t="e">
        <f>AND('4'!A10,"AAAAABvnmyQ=")</f>
        <v>#VALUE!</v>
      </c>
      <c r="AL28" t="e">
        <f>AND('4'!B10,"AAAAABvnmyU=")</f>
        <v>#VALUE!</v>
      </c>
      <c r="AM28" t="e">
        <f>AND('4'!C10,"AAAAABvnmyY=")</f>
        <v>#VALUE!</v>
      </c>
      <c r="AN28" t="e">
        <f>AND('4'!D10,"AAAAABvnmyc=")</f>
        <v>#VALUE!</v>
      </c>
      <c r="AO28" t="e">
        <f>AND('4'!E10,"AAAAABvnmyg=")</f>
        <v>#VALUE!</v>
      </c>
      <c r="AP28" t="e">
        <f>AND('4'!F10,"AAAAABvnmyk=")</f>
        <v>#VALUE!</v>
      </c>
      <c r="AQ28" t="e">
        <f>AND('4'!G10,"AAAAABvnmyo=")</f>
        <v>#VALUE!</v>
      </c>
      <c r="AR28" t="e">
        <f>AND('4'!H10,"AAAAABvnmys=")</f>
        <v>#VALUE!</v>
      </c>
      <c r="AS28" t="e">
        <f>AND('4'!I10,"AAAAABvnmyw=")</f>
        <v>#VALUE!</v>
      </c>
      <c r="AT28" t="e">
        <f>AND('4'!J10,"AAAAABvnmy0=")</f>
        <v>#VALUE!</v>
      </c>
      <c r="AU28" t="e">
        <f>AND('4'!#REF!,"AAAAABvnmy4=")</f>
        <v>#REF!</v>
      </c>
      <c r="AV28" t="e">
        <f>AND('4'!#REF!,"AAAAABvnmy8=")</f>
        <v>#REF!</v>
      </c>
      <c r="AW28" t="e">
        <f>AND('4'!#REF!,"AAAAABvnmzA=")</f>
        <v>#REF!</v>
      </c>
      <c r="AX28" t="e">
        <f>AND('4'!#REF!,"AAAAABvnmzE=")</f>
        <v>#REF!</v>
      </c>
      <c r="AY28" t="e">
        <f>AND('4'!#REF!,"AAAAABvnmzI=")</f>
        <v>#REF!</v>
      </c>
      <c r="AZ28" t="e">
        <f>AND('4'!#REF!,"AAAAABvnmzM=")</f>
        <v>#REF!</v>
      </c>
      <c r="BA28" t="e">
        <f>AND('4'!K10,"AAAAABvnmzQ=")</f>
        <v>#VALUE!</v>
      </c>
      <c r="BB28" t="e">
        <f>AND('4'!#REF!,"AAAAABvnmzU=")</f>
        <v>#REF!</v>
      </c>
      <c r="BC28" t="e">
        <f>AND('4'!#REF!,"AAAAABvnmzY=")</f>
        <v>#REF!</v>
      </c>
      <c r="BD28">
        <f>IF('4'!11:11,"AAAAABvnmzc=",0)</f>
        <v>0</v>
      </c>
      <c r="BE28" t="e">
        <f>AND('4'!#REF!,"AAAAABvnmzg=")</f>
        <v>#REF!</v>
      </c>
      <c r="BF28" t="e">
        <f>AND('4'!A11,"AAAAABvnmzk=")</f>
        <v>#VALUE!</v>
      </c>
      <c r="BG28" t="e">
        <f>AND('4'!B11,"AAAAABvnmzo=")</f>
        <v>#VALUE!</v>
      </c>
      <c r="BH28" t="e">
        <f>AND('4'!C11,"AAAAABvnmzs=")</f>
        <v>#VALUE!</v>
      </c>
      <c r="BI28" t="e">
        <f>AND('4'!D11,"AAAAABvnmzw=")</f>
        <v>#VALUE!</v>
      </c>
      <c r="BJ28" t="e">
        <f>AND('4'!E11,"AAAAABvnmz0=")</f>
        <v>#VALUE!</v>
      </c>
      <c r="BK28" t="e">
        <f>AND('4'!F11,"AAAAABvnmz4=")</f>
        <v>#VALUE!</v>
      </c>
      <c r="BL28" t="e">
        <f>AND('4'!G11,"AAAAABvnmz8=")</f>
        <v>#VALUE!</v>
      </c>
      <c r="BM28" t="e">
        <f>AND('4'!H11,"AAAAABvnm0A=")</f>
        <v>#VALUE!</v>
      </c>
      <c r="BN28" t="e">
        <f>AND('4'!I11,"AAAAABvnm0E=")</f>
        <v>#VALUE!</v>
      </c>
      <c r="BO28" t="e">
        <f>AND('4'!J11,"AAAAABvnm0I=")</f>
        <v>#VALUE!</v>
      </c>
      <c r="BP28" t="e">
        <f>AND('4'!#REF!,"AAAAABvnm0M=")</f>
        <v>#REF!</v>
      </c>
      <c r="BQ28" t="e">
        <f>AND('4'!#REF!,"AAAAABvnm0Q=")</f>
        <v>#REF!</v>
      </c>
      <c r="BR28" t="e">
        <f>AND('4'!#REF!,"AAAAABvnm0U=")</f>
        <v>#REF!</v>
      </c>
      <c r="BS28" t="e">
        <f>AND('4'!#REF!,"AAAAABvnm0Y=")</f>
        <v>#REF!</v>
      </c>
      <c r="BT28" t="e">
        <f>AND('4'!#REF!,"AAAAABvnm0c=")</f>
        <v>#REF!</v>
      </c>
      <c r="BU28" t="e">
        <f>AND('4'!#REF!,"AAAAABvnm0g=")</f>
        <v>#REF!</v>
      </c>
      <c r="BV28" t="e">
        <f>AND('4'!K11,"AAAAABvnm0k=")</f>
        <v>#VALUE!</v>
      </c>
      <c r="BW28" t="e">
        <f>AND('4'!#REF!,"AAAAABvnm0o=")</f>
        <v>#REF!</v>
      </c>
      <c r="BX28" t="e">
        <f>AND('4'!#REF!,"AAAAABvnm0s=")</f>
        <v>#REF!</v>
      </c>
      <c r="BY28">
        <f>IF('4'!12:12,"AAAAABvnm0w=",0)</f>
        <v>0</v>
      </c>
      <c r="BZ28" t="e">
        <f>AND('4'!#REF!,"AAAAABvnm00=")</f>
        <v>#REF!</v>
      </c>
      <c r="CA28" t="e">
        <f>AND('4'!A12,"AAAAABvnm04=")</f>
        <v>#VALUE!</v>
      </c>
      <c r="CB28" t="e">
        <f>AND('4'!B12,"AAAAABvnm08=")</f>
        <v>#VALUE!</v>
      </c>
      <c r="CC28" t="e">
        <f>AND('4'!C12,"AAAAABvnm1A=")</f>
        <v>#VALUE!</v>
      </c>
      <c r="CD28" t="e">
        <f>AND('4'!D12,"AAAAABvnm1E=")</f>
        <v>#VALUE!</v>
      </c>
      <c r="CE28" t="e">
        <f>AND('4'!E12,"AAAAABvnm1I=")</f>
        <v>#VALUE!</v>
      </c>
      <c r="CF28" t="e">
        <f>AND('4'!F12,"AAAAABvnm1M=")</f>
        <v>#VALUE!</v>
      </c>
      <c r="CG28" t="e">
        <f>AND('4'!G12,"AAAAABvnm1Q=")</f>
        <v>#VALUE!</v>
      </c>
      <c r="CH28" t="e">
        <f>AND('4'!H12,"AAAAABvnm1U=")</f>
        <v>#VALUE!</v>
      </c>
      <c r="CI28" t="e">
        <f>AND('4'!I12,"AAAAABvnm1Y=")</f>
        <v>#VALUE!</v>
      </c>
      <c r="CJ28" t="e">
        <f>AND('4'!J12,"AAAAABvnm1c=")</f>
        <v>#VALUE!</v>
      </c>
      <c r="CK28" t="e">
        <f>AND('4'!#REF!,"AAAAABvnm1g=")</f>
        <v>#REF!</v>
      </c>
      <c r="CL28" t="e">
        <f>AND('4'!#REF!,"AAAAABvnm1k=")</f>
        <v>#REF!</v>
      </c>
      <c r="CM28" t="e">
        <f>AND('4'!#REF!,"AAAAABvnm1o=")</f>
        <v>#REF!</v>
      </c>
      <c r="CN28" t="e">
        <f>AND('4'!#REF!,"AAAAABvnm1s=")</f>
        <v>#REF!</v>
      </c>
      <c r="CO28" t="e">
        <f>AND('4'!#REF!,"AAAAABvnm1w=")</f>
        <v>#REF!</v>
      </c>
      <c r="CP28" t="e">
        <f>AND('4'!#REF!,"AAAAABvnm10=")</f>
        <v>#REF!</v>
      </c>
      <c r="CQ28" t="e">
        <f>AND('4'!K12,"AAAAABvnm14=")</f>
        <v>#VALUE!</v>
      </c>
      <c r="CR28" t="e">
        <f>AND('4'!#REF!,"AAAAABvnm18=")</f>
        <v>#REF!</v>
      </c>
      <c r="CS28" t="e">
        <f>AND('4'!#REF!,"AAAAABvnm2A=")</f>
        <v>#REF!</v>
      </c>
      <c r="CT28">
        <f>IF('4'!13:13,"AAAAABvnm2E=",0)</f>
        <v>0</v>
      </c>
      <c r="CU28" t="e">
        <f>AND('4'!#REF!,"AAAAABvnm2I=")</f>
        <v>#REF!</v>
      </c>
      <c r="CV28" t="e">
        <f>AND('4'!A13,"AAAAABvnm2M=")</f>
        <v>#VALUE!</v>
      </c>
      <c r="CW28" t="e">
        <f>AND('4'!B13,"AAAAABvnm2Q=")</f>
        <v>#VALUE!</v>
      </c>
      <c r="CX28" t="e">
        <f>AND('4'!C13,"AAAAABvnm2U=")</f>
        <v>#VALUE!</v>
      </c>
      <c r="CY28" t="e">
        <f>AND('4'!D13,"AAAAABvnm2Y=")</f>
        <v>#VALUE!</v>
      </c>
      <c r="CZ28" t="e">
        <f>AND('4'!E13,"AAAAABvnm2c=")</f>
        <v>#VALUE!</v>
      </c>
      <c r="DA28" t="e">
        <f>AND('4'!F13,"AAAAABvnm2g=")</f>
        <v>#VALUE!</v>
      </c>
      <c r="DB28" t="e">
        <f>AND('4'!G13,"AAAAABvnm2k=")</f>
        <v>#VALUE!</v>
      </c>
      <c r="DC28" t="e">
        <f>AND('4'!H13,"AAAAABvnm2o=")</f>
        <v>#VALUE!</v>
      </c>
      <c r="DD28" t="e">
        <f>AND('4'!I13,"AAAAABvnm2s=")</f>
        <v>#VALUE!</v>
      </c>
      <c r="DE28" t="e">
        <f>AND('4'!J13,"AAAAABvnm2w=")</f>
        <v>#VALUE!</v>
      </c>
      <c r="DF28" t="e">
        <f>AND('4'!#REF!,"AAAAABvnm20=")</f>
        <v>#REF!</v>
      </c>
      <c r="DG28" t="e">
        <f>AND('4'!#REF!,"AAAAABvnm24=")</f>
        <v>#REF!</v>
      </c>
      <c r="DH28" t="e">
        <f>AND('4'!#REF!,"AAAAABvnm28=")</f>
        <v>#REF!</v>
      </c>
      <c r="DI28" t="e">
        <f>AND('4'!#REF!,"AAAAABvnm3A=")</f>
        <v>#REF!</v>
      </c>
      <c r="DJ28" t="e">
        <f>AND('4'!#REF!,"AAAAABvnm3E=")</f>
        <v>#REF!</v>
      </c>
      <c r="DK28" t="e">
        <f>AND('4'!#REF!,"AAAAABvnm3I=")</f>
        <v>#REF!</v>
      </c>
      <c r="DL28" t="e">
        <f>AND('4'!K13,"AAAAABvnm3M=")</f>
        <v>#VALUE!</v>
      </c>
      <c r="DM28" t="e">
        <f>AND('4'!#REF!,"AAAAABvnm3Q=")</f>
        <v>#REF!</v>
      </c>
      <c r="DN28" t="e">
        <f>AND('4'!#REF!,"AAAAABvnm3U=")</f>
        <v>#REF!</v>
      </c>
      <c r="DO28">
        <f>IF('4'!14:14,"AAAAABvnm3Y=",0)</f>
        <v>0</v>
      </c>
      <c r="DP28" t="e">
        <f>AND('4'!#REF!,"AAAAABvnm3c=")</f>
        <v>#REF!</v>
      </c>
      <c r="DQ28" t="e">
        <f>AND('4'!A14,"AAAAABvnm3g=")</f>
        <v>#VALUE!</v>
      </c>
      <c r="DR28" t="e">
        <f>AND('4'!B14,"AAAAABvnm3k=")</f>
        <v>#VALUE!</v>
      </c>
      <c r="DS28" t="e">
        <f>AND('4'!C14,"AAAAABvnm3o=")</f>
        <v>#VALUE!</v>
      </c>
      <c r="DT28" t="e">
        <f>AND('4'!D14,"AAAAABvnm3s=")</f>
        <v>#VALUE!</v>
      </c>
      <c r="DU28" t="e">
        <f>AND('4'!E14,"AAAAABvnm3w=")</f>
        <v>#VALUE!</v>
      </c>
      <c r="DV28" t="e">
        <f>AND('4'!F14,"AAAAABvnm30=")</f>
        <v>#VALUE!</v>
      </c>
      <c r="DW28" t="e">
        <f>AND('4'!G14,"AAAAABvnm34=")</f>
        <v>#VALUE!</v>
      </c>
      <c r="DX28" t="e">
        <f>AND('4'!H14,"AAAAABvnm38=")</f>
        <v>#VALUE!</v>
      </c>
      <c r="DY28" t="e">
        <f>AND('4'!I14,"AAAAABvnm4A=")</f>
        <v>#VALUE!</v>
      </c>
      <c r="DZ28" t="e">
        <f>AND('4'!J14,"AAAAABvnm4E=")</f>
        <v>#VALUE!</v>
      </c>
      <c r="EA28" t="e">
        <f>AND('4'!#REF!,"AAAAABvnm4I=")</f>
        <v>#REF!</v>
      </c>
      <c r="EB28" t="e">
        <f>AND('4'!#REF!,"AAAAABvnm4M=")</f>
        <v>#REF!</v>
      </c>
      <c r="EC28" t="e">
        <f>AND('4'!#REF!,"AAAAABvnm4Q=")</f>
        <v>#REF!</v>
      </c>
      <c r="ED28" t="e">
        <f>AND('4'!#REF!,"AAAAABvnm4U=")</f>
        <v>#REF!</v>
      </c>
      <c r="EE28" t="e">
        <f>AND('4'!#REF!,"AAAAABvnm4Y=")</f>
        <v>#REF!</v>
      </c>
      <c r="EF28" t="e">
        <f>AND('4'!#REF!,"AAAAABvnm4c=")</f>
        <v>#REF!</v>
      </c>
      <c r="EG28" t="e">
        <f>AND('4'!K14,"AAAAABvnm4g=")</f>
        <v>#VALUE!</v>
      </c>
      <c r="EH28" t="e">
        <f>AND('4'!#REF!,"AAAAABvnm4k=")</f>
        <v>#REF!</v>
      </c>
      <c r="EI28" t="e">
        <f>AND('4'!#REF!,"AAAAABvnm4o=")</f>
        <v>#REF!</v>
      </c>
      <c r="EJ28">
        <f>IF('4'!15:15,"AAAAABvnm4s=",0)</f>
        <v>0</v>
      </c>
      <c r="EK28" t="e">
        <f>AND('4'!#REF!,"AAAAABvnm4w=")</f>
        <v>#REF!</v>
      </c>
      <c r="EL28" t="e">
        <f>AND('4'!A15,"AAAAABvnm40=")</f>
        <v>#VALUE!</v>
      </c>
      <c r="EM28" t="e">
        <f>AND('4'!B15,"AAAAABvnm44=")</f>
        <v>#VALUE!</v>
      </c>
      <c r="EN28" t="e">
        <f>AND('4'!C15,"AAAAABvnm48=")</f>
        <v>#VALUE!</v>
      </c>
      <c r="EO28" t="e">
        <f>AND('4'!D15,"AAAAABvnm5A=")</f>
        <v>#VALUE!</v>
      </c>
      <c r="EP28" t="e">
        <f>AND('4'!E15,"AAAAABvnm5E=")</f>
        <v>#VALUE!</v>
      </c>
      <c r="EQ28" t="e">
        <f>AND('4'!F15,"AAAAABvnm5I=")</f>
        <v>#VALUE!</v>
      </c>
      <c r="ER28" t="e">
        <f>AND('4'!G15,"AAAAABvnm5M=")</f>
        <v>#VALUE!</v>
      </c>
      <c r="ES28" t="e">
        <f>AND('4'!H15,"AAAAABvnm5Q=")</f>
        <v>#VALUE!</v>
      </c>
      <c r="ET28" t="e">
        <f>AND('4'!I15,"AAAAABvnm5U=")</f>
        <v>#VALUE!</v>
      </c>
      <c r="EU28" t="e">
        <f>AND('4'!J15,"AAAAABvnm5Y=")</f>
        <v>#VALUE!</v>
      </c>
      <c r="EV28" t="e">
        <f>AND('4'!#REF!,"AAAAABvnm5c=")</f>
        <v>#REF!</v>
      </c>
      <c r="EW28" t="e">
        <f>AND('4'!#REF!,"AAAAABvnm5g=")</f>
        <v>#REF!</v>
      </c>
      <c r="EX28" t="e">
        <f>AND('4'!#REF!,"AAAAABvnm5k=")</f>
        <v>#REF!</v>
      </c>
      <c r="EY28" t="e">
        <f>AND('4'!#REF!,"AAAAABvnm5o=")</f>
        <v>#REF!</v>
      </c>
      <c r="EZ28" t="e">
        <f>AND('4'!#REF!,"AAAAABvnm5s=")</f>
        <v>#REF!</v>
      </c>
      <c r="FA28" t="e">
        <f>AND('4'!#REF!,"AAAAABvnm5w=")</f>
        <v>#REF!</v>
      </c>
      <c r="FB28" t="e">
        <f>AND('4'!K15,"AAAAABvnm50=")</f>
        <v>#VALUE!</v>
      </c>
      <c r="FC28" t="e">
        <f>AND('4'!#REF!,"AAAAABvnm54=")</f>
        <v>#REF!</v>
      </c>
      <c r="FD28" t="e">
        <f>AND('4'!#REF!,"AAAAABvnm58=")</f>
        <v>#REF!</v>
      </c>
      <c r="FE28" t="e">
        <f>IF('4'!#REF!,"AAAAABvnm6A=",0)</f>
        <v>#REF!</v>
      </c>
      <c r="FF28" t="e">
        <f>AND('4'!#REF!,"AAAAABvnm6E=")</f>
        <v>#REF!</v>
      </c>
      <c r="FG28" t="e">
        <f>AND('4'!#REF!,"AAAAABvnm6I=")</f>
        <v>#REF!</v>
      </c>
      <c r="FH28" t="e">
        <f>AND('4'!#REF!,"AAAAABvnm6M=")</f>
        <v>#REF!</v>
      </c>
      <c r="FI28" t="e">
        <f>AND('4'!#REF!,"AAAAABvnm6Q=")</f>
        <v>#REF!</v>
      </c>
      <c r="FJ28" t="e">
        <f>AND('4'!#REF!,"AAAAABvnm6U=")</f>
        <v>#REF!</v>
      </c>
      <c r="FK28" t="e">
        <f>AND('4'!#REF!,"AAAAABvnm6Y=")</f>
        <v>#REF!</v>
      </c>
      <c r="FL28" t="e">
        <f>AND('4'!#REF!,"AAAAABvnm6c=")</f>
        <v>#REF!</v>
      </c>
      <c r="FM28" t="e">
        <f>AND('4'!#REF!,"AAAAABvnm6g=")</f>
        <v>#REF!</v>
      </c>
      <c r="FN28" t="e">
        <f>AND('4'!#REF!,"AAAAABvnm6k=")</f>
        <v>#REF!</v>
      </c>
      <c r="FO28" t="e">
        <f>AND('4'!#REF!,"AAAAABvnm6o=")</f>
        <v>#REF!</v>
      </c>
      <c r="FP28" t="e">
        <f>AND('4'!#REF!,"AAAAABvnm6s=")</f>
        <v>#REF!</v>
      </c>
      <c r="FQ28" t="e">
        <f>AND('4'!#REF!,"AAAAABvnm6w=")</f>
        <v>#REF!</v>
      </c>
      <c r="FR28" t="e">
        <f>AND('4'!#REF!,"AAAAABvnm60=")</f>
        <v>#REF!</v>
      </c>
      <c r="FS28" t="e">
        <f>AND('4'!#REF!,"AAAAABvnm64=")</f>
        <v>#REF!</v>
      </c>
      <c r="FT28" t="e">
        <f>AND('4'!#REF!,"AAAAABvnm68=")</f>
        <v>#REF!</v>
      </c>
      <c r="FU28" t="e">
        <f>AND('4'!#REF!,"AAAAABvnm7A=")</f>
        <v>#REF!</v>
      </c>
      <c r="FV28" t="e">
        <f>AND('4'!#REF!,"AAAAABvnm7E=")</f>
        <v>#REF!</v>
      </c>
      <c r="FW28" t="e">
        <f>AND('4'!#REF!,"AAAAABvnm7I=")</f>
        <v>#REF!</v>
      </c>
      <c r="FX28" t="e">
        <f>AND('4'!#REF!,"AAAAABvnm7M=")</f>
        <v>#REF!</v>
      </c>
      <c r="FY28" t="e">
        <f>AND('4'!#REF!,"AAAAABvnm7Q=")</f>
        <v>#REF!</v>
      </c>
      <c r="FZ28" t="e">
        <f>IF('4'!#REF!,"AAAAABvnm7U=",0)</f>
        <v>#REF!</v>
      </c>
      <c r="GA28" t="e">
        <f>AND('4'!#REF!,"AAAAABvnm7Y=")</f>
        <v>#REF!</v>
      </c>
      <c r="GB28" t="e">
        <f>AND('4'!#REF!,"AAAAABvnm7c=")</f>
        <v>#REF!</v>
      </c>
      <c r="GC28" t="e">
        <f>AND('4'!#REF!,"AAAAABvnm7g=")</f>
        <v>#REF!</v>
      </c>
      <c r="GD28" t="e">
        <f>AND('4'!#REF!,"AAAAABvnm7k=")</f>
        <v>#REF!</v>
      </c>
      <c r="GE28" t="e">
        <f>AND('4'!#REF!,"AAAAABvnm7o=")</f>
        <v>#REF!</v>
      </c>
      <c r="GF28" t="e">
        <f>AND('4'!#REF!,"AAAAABvnm7s=")</f>
        <v>#REF!</v>
      </c>
      <c r="GG28" t="e">
        <f>AND('4'!#REF!,"AAAAABvnm7w=")</f>
        <v>#REF!</v>
      </c>
      <c r="GH28" t="e">
        <f>AND('4'!#REF!,"AAAAABvnm70=")</f>
        <v>#REF!</v>
      </c>
      <c r="GI28" t="e">
        <f>AND('4'!#REF!,"AAAAABvnm74=")</f>
        <v>#REF!</v>
      </c>
      <c r="GJ28" t="e">
        <f>AND('4'!#REF!,"AAAAABvnm78=")</f>
        <v>#REF!</v>
      </c>
      <c r="GK28" t="e">
        <f>AND('4'!#REF!,"AAAAABvnm8A=")</f>
        <v>#REF!</v>
      </c>
      <c r="GL28" t="e">
        <f>AND('4'!#REF!,"AAAAABvnm8E=")</f>
        <v>#REF!</v>
      </c>
      <c r="GM28" t="e">
        <f>AND('4'!#REF!,"AAAAABvnm8I=")</f>
        <v>#REF!</v>
      </c>
      <c r="GN28" t="e">
        <f>AND('4'!#REF!,"AAAAABvnm8M=")</f>
        <v>#REF!</v>
      </c>
      <c r="GO28" t="e">
        <f>AND('4'!#REF!,"AAAAABvnm8Q=")</f>
        <v>#REF!</v>
      </c>
      <c r="GP28" t="e">
        <f>AND('4'!#REF!,"AAAAABvnm8U=")</f>
        <v>#REF!</v>
      </c>
      <c r="GQ28" t="e">
        <f>AND('4'!#REF!,"AAAAABvnm8Y=")</f>
        <v>#REF!</v>
      </c>
      <c r="GR28" t="e">
        <f>AND('4'!#REF!,"AAAAABvnm8c=")</f>
        <v>#REF!</v>
      </c>
      <c r="GS28" t="e">
        <f>AND('4'!#REF!,"AAAAABvnm8g=")</f>
        <v>#REF!</v>
      </c>
      <c r="GT28" t="e">
        <f>AND('4'!#REF!,"AAAAABvnm8k=")</f>
        <v>#REF!</v>
      </c>
      <c r="GU28" t="e">
        <f>IF('4'!#REF!,"AAAAABvnm8o=",0)</f>
        <v>#REF!</v>
      </c>
      <c r="GV28" t="e">
        <f>AND('4'!#REF!,"AAAAABvnm8s=")</f>
        <v>#REF!</v>
      </c>
      <c r="GW28" t="e">
        <f>AND('4'!#REF!,"AAAAABvnm8w=")</f>
        <v>#REF!</v>
      </c>
      <c r="GX28" t="e">
        <f>AND('4'!#REF!,"AAAAABvnm80=")</f>
        <v>#REF!</v>
      </c>
      <c r="GY28" t="e">
        <f>AND('4'!#REF!,"AAAAABvnm84=")</f>
        <v>#REF!</v>
      </c>
      <c r="GZ28" t="e">
        <f>AND('4'!#REF!,"AAAAABvnm88=")</f>
        <v>#REF!</v>
      </c>
      <c r="HA28" t="e">
        <f>AND('4'!#REF!,"AAAAABvnm9A=")</f>
        <v>#REF!</v>
      </c>
      <c r="HB28" t="e">
        <f>AND('4'!#REF!,"AAAAABvnm9E=")</f>
        <v>#REF!</v>
      </c>
      <c r="HC28" t="e">
        <f>AND('4'!#REF!,"AAAAABvnm9I=")</f>
        <v>#REF!</v>
      </c>
      <c r="HD28" t="e">
        <f>AND('4'!#REF!,"AAAAABvnm9M=")</f>
        <v>#REF!</v>
      </c>
      <c r="HE28" t="e">
        <f>AND('4'!#REF!,"AAAAABvnm9Q=")</f>
        <v>#REF!</v>
      </c>
      <c r="HF28" t="e">
        <f>AND('4'!#REF!,"AAAAABvnm9U=")</f>
        <v>#REF!</v>
      </c>
      <c r="HG28" t="e">
        <f>AND('4'!#REF!,"AAAAABvnm9Y=")</f>
        <v>#REF!</v>
      </c>
      <c r="HH28" t="e">
        <f>AND('4'!#REF!,"AAAAABvnm9c=")</f>
        <v>#REF!</v>
      </c>
      <c r="HI28" t="e">
        <f>AND('4'!#REF!,"AAAAABvnm9g=")</f>
        <v>#REF!</v>
      </c>
      <c r="HJ28" t="e">
        <f>AND('4'!#REF!,"AAAAABvnm9k=")</f>
        <v>#REF!</v>
      </c>
      <c r="HK28" t="e">
        <f>AND('4'!#REF!,"AAAAABvnm9o=")</f>
        <v>#REF!</v>
      </c>
      <c r="HL28" t="e">
        <f>AND('4'!#REF!,"AAAAABvnm9s=")</f>
        <v>#REF!</v>
      </c>
      <c r="HM28" t="e">
        <f>AND('4'!#REF!,"AAAAABvnm9w=")</f>
        <v>#REF!</v>
      </c>
      <c r="HN28" t="e">
        <f>AND('4'!#REF!,"AAAAABvnm90=")</f>
        <v>#REF!</v>
      </c>
      <c r="HO28" t="e">
        <f>AND('4'!#REF!,"AAAAABvnm94=")</f>
        <v>#REF!</v>
      </c>
      <c r="HP28" t="e">
        <f>IF('4'!#REF!,"AAAAABvnm98=",0)</f>
        <v>#REF!</v>
      </c>
      <c r="HQ28" t="e">
        <f>AND('4'!#REF!,"AAAAABvnm+A=")</f>
        <v>#REF!</v>
      </c>
      <c r="HR28" t="e">
        <f>AND('4'!#REF!,"AAAAABvnm+E=")</f>
        <v>#REF!</v>
      </c>
      <c r="HS28" t="e">
        <f>AND('4'!#REF!,"AAAAABvnm+I=")</f>
        <v>#REF!</v>
      </c>
      <c r="HT28" t="e">
        <f>AND('4'!#REF!,"AAAAABvnm+M=")</f>
        <v>#REF!</v>
      </c>
      <c r="HU28" t="e">
        <f>AND('4'!#REF!,"AAAAABvnm+Q=")</f>
        <v>#REF!</v>
      </c>
      <c r="HV28" t="e">
        <f>AND('4'!#REF!,"AAAAABvnm+U=")</f>
        <v>#REF!</v>
      </c>
      <c r="HW28" t="e">
        <f>AND('4'!#REF!,"AAAAABvnm+Y=")</f>
        <v>#REF!</v>
      </c>
      <c r="HX28" t="e">
        <f>AND('4'!#REF!,"AAAAABvnm+c=")</f>
        <v>#REF!</v>
      </c>
      <c r="HY28" t="e">
        <f>AND('4'!#REF!,"AAAAABvnm+g=")</f>
        <v>#REF!</v>
      </c>
      <c r="HZ28" t="e">
        <f>AND('4'!#REF!,"AAAAABvnm+k=")</f>
        <v>#REF!</v>
      </c>
      <c r="IA28" t="e">
        <f>AND('4'!#REF!,"AAAAABvnm+o=")</f>
        <v>#REF!</v>
      </c>
      <c r="IB28" t="e">
        <f>AND('4'!#REF!,"AAAAABvnm+s=")</f>
        <v>#REF!</v>
      </c>
      <c r="IC28" t="e">
        <f>AND('4'!#REF!,"AAAAABvnm+w=")</f>
        <v>#REF!</v>
      </c>
      <c r="ID28" t="e">
        <f>AND('4'!#REF!,"AAAAABvnm+0=")</f>
        <v>#REF!</v>
      </c>
      <c r="IE28" t="e">
        <f>AND('4'!#REF!,"AAAAABvnm+4=")</f>
        <v>#REF!</v>
      </c>
      <c r="IF28" t="e">
        <f>AND('4'!#REF!,"AAAAABvnm+8=")</f>
        <v>#REF!</v>
      </c>
      <c r="IG28" t="e">
        <f>AND('4'!#REF!,"AAAAABvnm/A=")</f>
        <v>#REF!</v>
      </c>
      <c r="IH28" t="e">
        <f>AND('4'!#REF!,"AAAAABvnm/E=")</f>
        <v>#REF!</v>
      </c>
      <c r="II28" t="e">
        <f>AND('4'!#REF!,"AAAAABvnm/I=")</f>
        <v>#REF!</v>
      </c>
      <c r="IJ28" t="e">
        <f>AND('4'!#REF!,"AAAAABvnm/M=")</f>
        <v>#REF!</v>
      </c>
      <c r="IK28" t="e">
        <f>IF('4'!#REF!,"AAAAABvnm/Q=",0)</f>
        <v>#REF!</v>
      </c>
      <c r="IL28" t="e">
        <f>AND('4'!#REF!,"AAAAABvnm/U=")</f>
        <v>#REF!</v>
      </c>
      <c r="IM28" t="e">
        <f>AND('4'!#REF!,"AAAAABvnm/Y=")</f>
        <v>#REF!</v>
      </c>
      <c r="IN28" t="e">
        <f>AND('4'!#REF!,"AAAAABvnm/c=")</f>
        <v>#REF!</v>
      </c>
      <c r="IO28" t="e">
        <f>AND('4'!#REF!,"AAAAABvnm/g=")</f>
        <v>#REF!</v>
      </c>
      <c r="IP28" t="e">
        <f>AND('4'!#REF!,"AAAAABvnm/k=")</f>
        <v>#REF!</v>
      </c>
      <c r="IQ28" t="e">
        <f>AND('4'!#REF!,"AAAAABvnm/o=")</f>
        <v>#REF!</v>
      </c>
      <c r="IR28" t="e">
        <f>AND('4'!#REF!,"AAAAABvnm/s=")</f>
        <v>#REF!</v>
      </c>
      <c r="IS28" t="e">
        <f>AND('4'!#REF!,"AAAAABvnm/w=")</f>
        <v>#REF!</v>
      </c>
      <c r="IT28" t="e">
        <f>AND('4'!#REF!,"AAAAABvnm/0=")</f>
        <v>#REF!</v>
      </c>
      <c r="IU28" t="e">
        <f>AND('4'!#REF!,"AAAAABvnm/4=")</f>
        <v>#REF!</v>
      </c>
      <c r="IV28" t="e">
        <f>AND('4'!#REF!,"AAAAABvnm/8=")</f>
        <v>#REF!</v>
      </c>
    </row>
    <row r="29" spans="1:256" x14ac:dyDescent="0.25">
      <c r="A29" t="e">
        <f>AND('4'!#REF!,"AAAAAH/P7QA=")</f>
        <v>#REF!</v>
      </c>
      <c r="B29" t="e">
        <f>AND('4'!#REF!,"AAAAAH/P7QE=")</f>
        <v>#REF!</v>
      </c>
      <c r="C29" t="e">
        <f>AND('4'!#REF!,"AAAAAH/P7QI=")</f>
        <v>#REF!</v>
      </c>
      <c r="D29" t="e">
        <f>AND('4'!#REF!,"AAAAAH/P7QM=")</f>
        <v>#REF!</v>
      </c>
      <c r="E29" t="e">
        <f>AND('4'!#REF!,"AAAAAH/P7QQ=")</f>
        <v>#REF!</v>
      </c>
      <c r="F29" t="e">
        <f>AND('4'!#REF!,"AAAAAH/P7QU=")</f>
        <v>#REF!</v>
      </c>
      <c r="G29" t="e">
        <f>AND('4'!#REF!,"AAAAAH/P7QY=")</f>
        <v>#REF!</v>
      </c>
      <c r="H29" t="e">
        <f>AND('4'!#REF!,"AAAAAH/P7Qc=")</f>
        <v>#REF!</v>
      </c>
      <c r="I29" t="e">
        <f>AND('4'!#REF!,"AAAAAH/P7Qg=")</f>
        <v>#REF!</v>
      </c>
      <c r="J29" t="e">
        <f>IF('4'!#REF!,"AAAAAH/P7Qk=",0)</f>
        <v>#REF!</v>
      </c>
      <c r="K29" t="e">
        <f>AND('4'!#REF!,"AAAAAH/P7Qo=")</f>
        <v>#REF!</v>
      </c>
      <c r="L29" t="e">
        <f>AND('4'!#REF!,"AAAAAH/P7Qs=")</f>
        <v>#REF!</v>
      </c>
      <c r="M29" t="e">
        <f>AND('4'!#REF!,"AAAAAH/P7Qw=")</f>
        <v>#REF!</v>
      </c>
      <c r="N29" t="e">
        <f>AND('4'!#REF!,"AAAAAH/P7Q0=")</f>
        <v>#REF!</v>
      </c>
      <c r="O29" t="e">
        <f>AND('4'!#REF!,"AAAAAH/P7Q4=")</f>
        <v>#REF!</v>
      </c>
      <c r="P29" t="e">
        <f>AND('4'!#REF!,"AAAAAH/P7Q8=")</f>
        <v>#REF!</v>
      </c>
      <c r="Q29" t="e">
        <f>AND('4'!#REF!,"AAAAAH/P7RA=")</f>
        <v>#REF!</v>
      </c>
      <c r="R29" t="e">
        <f>AND('4'!#REF!,"AAAAAH/P7RE=")</f>
        <v>#REF!</v>
      </c>
      <c r="S29" t="e">
        <f>AND('4'!#REF!,"AAAAAH/P7RI=")</f>
        <v>#REF!</v>
      </c>
      <c r="T29" t="e">
        <f>AND('4'!#REF!,"AAAAAH/P7RM=")</f>
        <v>#REF!</v>
      </c>
      <c r="U29" t="e">
        <f>AND('4'!#REF!,"AAAAAH/P7RQ=")</f>
        <v>#REF!</v>
      </c>
      <c r="V29" t="e">
        <f>AND('4'!#REF!,"AAAAAH/P7RU=")</f>
        <v>#REF!</v>
      </c>
      <c r="W29" t="e">
        <f>AND('4'!#REF!,"AAAAAH/P7RY=")</f>
        <v>#REF!</v>
      </c>
      <c r="X29" t="e">
        <f>AND('4'!#REF!,"AAAAAH/P7Rc=")</f>
        <v>#REF!</v>
      </c>
      <c r="Y29" t="e">
        <f>AND('4'!#REF!,"AAAAAH/P7Rg=")</f>
        <v>#REF!</v>
      </c>
      <c r="Z29" t="e">
        <f>AND('4'!#REF!,"AAAAAH/P7Rk=")</f>
        <v>#REF!</v>
      </c>
      <c r="AA29" t="e">
        <f>AND('4'!#REF!,"AAAAAH/P7Ro=")</f>
        <v>#REF!</v>
      </c>
      <c r="AB29" t="e">
        <f>AND('4'!#REF!,"AAAAAH/P7Rs=")</f>
        <v>#REF!</v>
      </c>
      <c r="AC29" t="e">
        <f>AND('4'!#REF!,"AAAAAH/P7Rw=")</f>
        <v>#REF!</v>
      </c>
      <c r="AD29" t="e">
        <f>AND('4'!#REF!,"AAAAAH/P7R0=")</f>
        <v>#REF!</v>
      </c>
      <c r="AE29" t="e">
        <f>IF('4'!#REF!,"AAAAAH/P7R4=",0)</f>
        <v>#REF!</v>
      </c>
      <c r="AF29" t="e">
        <f>AND('4'!#REF!,"AAAAAH/P7R8=")</f>
        <v>#REF!</v>
      </c>
      <c r="AG29" t="e">
        <f>AND('4'!#REF!,"AAAAAH/P7SA=")</f>
        <v>#REF!</v>
      </c>
      <c r="AH29" t="e">
        <f>AND('4'!#REF!,"AAAAAH/P7SE=")</f>
        <v>#REF!</v>
      </c>
      <c r="AI29" t="e">
        <f>AND('4'!#REF!,"AAAAAH/P7SI=")</f>
        <v>#REF!</v>
      </c>
      <c r="AJ29" t="e">
        <f>AND('4'!#REF!,"AAAAAH/P7SM=")</f>
        <v>#REF!</v>
      </c>
      <c r="AK29" t="e">
        <f>AND('4'!#REF!,"AAAAAH/P7SQ=")</f>
        <v>#REF!</v>
      </c>
      <c r="AL29" t="e">
        <f>AND('4'!#REF!,"AAAAAH/P7SU=")</f>
        <v>#REF!</v>
      </c>
      <c r="AM29" t="e">
        <f>AND('4'!#REF!,"AAAAAH/P7SY=")</f>
        <v>#REF!</v>
      </c>
      <c r="AN29" t="e">
        <f>AND('4'!#REF!,"AAAAAH/P7Sc=")</f>
        <v>#REF!</v>
      </c>
      <c r="AO29" t="e">
        <f>AND('4'!#REF!,"AAAAAH/P7Sg=")</f>
        <v>#REF!</v>
      </c>
      <c r="AP29" t="e">
        <f>AND('4'!#REF!,"AAAAAH/P7Sk=")</f>
        <v>#REF!</v>
      </c>
      <c r="AQ29" t="e">
        <f>AND('4'!#REF!,"AAAAAH/P7So=")</f>
        <v>#REF!</v>
      </c>
      <c r="AR29" t="e">
        <f>AND('4'!#REF!,"AAAAAH/P7Ss=")</f>
        <v>#REF!</v>
      </c>
      <c r="AS29" t="e">
        <f>AND('4'!#REF!,"AAAAAH/P7Sw=")</f>
        <v>#REF!</v>
      </c>
      <c r="AT29" t="e">
        <f>AND('4'!#REF!,"AAAAAH/P7S0=")</f>
        <v>#REF!</v>
      </c>
      <c r="AU29" t="e">
        <f>AND('4'!#REF!,"AAAAAH/P7S4=")</f>
        <v>#REF!</v>
      </c>
      <c r="AV29" t="e">
        <f>AND('4'!#REF!,"AAAAAH/P7S8=")</f>
        <v>#REF!</v>
      </c>
      <c r="AW29" t="e">
        <f>AND('4'!#REF!,"AAAAAH/P7TA=")</f>
        <v>#REF!</v>
      </c>
      <c r="AX29" t="e">
        <f>AND('4'!#REF!,"AAAAAH/P7TE=")</f>
        <v>#REF!</v>
      </c>
      <c r="AY29" t="e">
        <f>AND('4'!#REF!,"AAAAAH/P7TI=")</f>
        <v>#REF!</v>
      </c>
      <c r="AZ29" t="e">
        <f>IF('4'!#REF!,"AAAAAH/P7TM=",0)</f>
        <v>#REF!</v>
      </c>
      <c r="BA29" t="e">
        <f>AND('4'!#REF!,"AAAAAH/P7TQ=")</f>
        <v>#REF!</v>
      </c>
      <c r="BB29" t="e">
        <f>AND('4'!#REF!,"AAAAAH/P7TU=")</f>
        <v>#REF!</v>
      </c>
      <c r="BC29" t="e">
        <f>AND('4'!#REF!,"AAAAAH/P7TY=")</f>
        <v>#REF!</v>
      </c>
      <c r="BD29" t="e">
        <f>AND('4'!#REF!,"AAAAAH/P7Tc=")</f>
        <v>#REF!</v>
      </c>
      <c r="BE29" t="e">
        <f>AND('4'!#REF!,"AAAAAH/P7Tg=")</f>
        <v>#REF!</v>
      </c>
      <c r="BF29" t="e">
        <f>AND('4'!#REF!,"AAAAAH/P7Tk=")</f>
        <v>#REF!</v>
      </c>
      <c r="BG29" t="e">
        <f>AND('4'!#REF!,"AAAAAH/P7To=")</f>
        <v>#REF!</v>
      </c>
      <c r="BH29" t="e">
        <f>AND('4'!#REF!,"AAAAAH/P7Ts=")</f>
        <v>#REF!</v>
      </c>
      <c r="BI29" t="e">
        <f>AND('4'!#REF!,"AAAAAH/P7Tw=")</f>
        <v>#REF!</v>
      </c>
      <c r="BJ29" t="e">
        <f>AND('4'!#REF!,"AAAAAH/P7T0=")</f>
        <v>#REF!</v>
      </c>
      <c r="BK29" t="e">
        <f>AND('4'!#REF!,"AAAAAH/P7T4=")</f>
        <v>#REF!</v>
      </c>
      <c r="BL29" t="e">
        <f>AND('4'!#REF!,"AAAAAH/P7T8=")</f>
        <v>#REF!</v>
      </c>
      <c r="BM29" t="e">
        <f>AND('4'!#REF!,"AAAAAH/P7UA=")</f>
        <v>#REF!</v>
      </c>
      <c r="BN29" t="e">
        <f>AND('4'!#REF!,"AAAAAH/P7UE=")</f>
        <v>#REF!</v>
      </c>
      <c r="BO29" t="e">
        <f>AND('4'!#REF!,"AAAAAH/P7UI=")</f>
        <v>#REF!</v>
      </c>
      <c r="BP29" t="e">
        <f>AND('4'!#REF!,"AAAAAH/P7UM=")</f>
        <v>#REF!</v>
      </c>
      <c r="BQ29" t="e">
        <f>AND('4'!#REF!,"AAAAAH/P7UQ=")</f>
        <v>#REF!</v>
      </c>
      <c r="BR29" t="e">
        <f>AND('4'!#REF!,"AAAAAH/P7UU=")</f>
        <v>#REF!</v>
      </c>
      <c r="BS29" t="e">
        <f>AND('4'!#REF!,"AAAAAH/P7UY=")</f>
        <v>#REF!</v>
      </c>
      <c r="BT29" t="e">
        <f>AND('4'!#REF!,"AAAAAH/P7Uc=")</f>
        <v>#REF!</v>
      </c>
      <c r="BU29" t="e">
        <f>IF('4'!#REF!,"AAAAAH/P7Ug=",0)</f>
        <v>#REF!</v>
      </c>
      <c r="BV29" t="e">
        <f>AND('4'!#REF!,"AAAAAH/P7Uk=")</f>
        <v>#REF!</v>
      </c>
      <c r="BW29" t="e">
        <f>AND('4'!#REF!,"AAAAAH/P7Uo=")</f>
        <v>#REF!</v>
      </c>
      <c r="BX29" t="e">
        <f>AND('4'!#REF!,"AAAAAH/P7Us=")</f>
        <v>#REF!</v>
      </c>
      <c r="BY29" t="e">
        <f>AND('4'!#REF!,"AAAAAH/P7Uw=")</f>
        <v>#REF!</v>
      </c>
      <c r="BZ29" t="e">
        <f>AND('4'!#REF!,"AAAAAH/P7U0=")</f>
        <v>#REF!</v>
      </c>
      <c r="CA29" t="e">
        <f>AND('4'!#REF!,"AAAAAH/P7U4=")</f>
        <v>#REF!</v>
      </c>
      <c r="CB29" t="e">
        <f>AND('4'!#REF!,"AAAAAH/P7U8=")</f>
        <v>#REF!</v>
      </c>
      <c r="CC29" t="e">
        <f>AND('4'!#REF!,"AAAAAH/P7VA=")</f>
        <v>#REF!</v>
      </c>
      <c r="CD29" t="e">
        <f>AND('4'!#REF!,"AAAAAH/P7VE=")</f>
        <v>#REF!</v>
      </c>
      <c r="CE29" t="e">
        <f>AND('4'!#REF!,"AAAAAH/P7VI=")</f>
        <v>#REF!</v>
      </c>
      <c r="CF29" t="e">
        <f>AND('4'!#REF!,"AAAAAH/P7VM=")</f>
        <v>#REF!</v>
      </c>
      <c r="CG29" t="e">
        <f>AND('4'!#REF!,"AAAAAH/P7VQ=")</f>
        <v>#REF!</v>
      </c>
      <c r="CH29" t="e">
        <f>AND('4'!#REF!,"AAAAAH/P7VU=")</f>
        <v>#REF!</v>
      </c>
      <c r="CI29" t="e">
        <f>AND('4'!#REF!,"AAAAAH/P7VY=")</f>
        <v>#REF!</v>
      </c>
      <c r="CJ29" t="e">
        <f>AND('4'!#REF!,"AAAAAH/P7Vc=")</f>
        <v>#REF!</v>
      </c>
      <c r="CK29" t="e">
        <f>AND('4'!#REF!,"AAAAAH/P7Vg=")</f>
        <v>#REF!</v>
      </c>
      <c r="CL29" t="e">
        <f>AND('4'!#REF!,"AAAAAH/P7Vk=")</f>
        <v>#REF!</v>
      </c>
      <c r="CM29" t="e">
        <f>AND('4'!#REF!,"AAAAAH/P7Vo=")</f>
        <v>#REF!</v>
      </c>
      <c r="CN29" t="e">
        <f>AND('4'!#REF!,"AAAAAH/P7Vs=")</f>
        <v>#REF!</v>
      </c>
      <c r="CO29" t="e">
        <f>AND('4'!#REF!,"AAAAAH/P7Vw=")</f>
        <v>#REF!</v>
      </c>
      <c r="CP29" t="e">
        <f>IF('4'!#REF!,"AAAAAH/P7V0=",0)</f>
        <v>#REF!</v>
      </c>
      <c r="CQ29" t="e">
        <f>AND('4'!#REF!,"AAAAAH/P7V4=")</f>
        <v>#REF!</v>
      </c>
      <c r="CR29" t="e">
        <f>AND('4'!#REF!,"AAAAAH/P7V8=")</f>
        <v>#REF!</v>
      </c>
      <c r="CS29" t="e">
        <f>AND('4'!#REF!,"AAAAAH/P7WA=")</f>
        <v>#REF!</v>
      </c>
      <c r="CT29" t="e">
        <f>AND('4'!#REF!,"AAAAAH/P7WE=")</f>
        <v>#REF!</v>
      </c>
      <c r="CU29" t="e">
        <f>AND('4'!#REF!,"AAAAAH/P7WI=")</f>
        <v>#REF!</v>
      </c>
      <c r="CV29" t="e">
        <f>AND('4'!#REF!,"AAAAAH/P7WM=")</f>
        <v>#REF!</v>
      </c>
      <c r="CW29" t="e">
        <f>AND('4'!#REF!,"AAAAAH/P7WQ=")</f>
        <v>#REF!</v>
      </c>
      <c r="CX29" t="e">
        <f>AND('4'!#REF!,"AAAAAH/P7WU=")</f>
        <v>#REF!</v>
      </c>
      <c r="CY29" t="e">
        <f>AND('4'!#REF!,"AAAAAH/P7WY=")</f>
        <v>#REF!</v>
      </c>
      <c r="CZ29" t="e">
        <f>AND('4'!#REF!,"AAAAAH/P7Wc=")</f>
        <v>#REF!</v>
      </c>
      <c r="DA29" t="e">
        <f>AND('4'!#REF!,"AAAAAH/P7Wg=")</f>
        <v>#REF!</v>
      </c>
      <c r="DB29" t="e">
        <f>AND('4'!#REF!,"AAAAAH/P7Wk=")</f>
        <v>#REF!</v>
      </c>
      <c r="DC29" t="e">
        <f>AND('4'!#REF!,"AAAAAH/P7Wo=")</f>
        <v>#REF!</v>
      </c>
      <c r="DD29" t="e">
        <f>AND('4'!#REF!,"AAAAAH/P7Ws=")</f>
        <v>#REF!</v>
      </c>
      <c r="DE29" t="e">
        <f>AND('4'!#REF!,"AAAAAH/P7Ww=")</f>
        <v>#REF!</v>
      </c>
      <c r="DF29" t="e">
        <f>AND('4'!#REF!,"AAAAAH/P7W0=")</f>
        <v>#REF!</v>
      </c>
      <c r="DG29" t="e">
        <f>AND('4'!#REF!,"AAAAAH/P7W4=")</f>
        <v>#REF!</v>
      </c>
      <c r="DH29" t="e">
        <f>AND('4'!#REF!,"AAAAAH/P7W8=")</f>
        <v>#REF!</v>
      </c>
      <c r="DI29" t="e">
        <f>AND('4'!#REF!,"AAAAAH/P7XA=")</f>
        <v>#REF!</v>
      </c>
      <c r="DJ29" t="e">
        <f>AND('4'!#REF!,"AAAAAH/P7XE=")</f>
        <v>#REF!</v>
      </c>
      <c r="DK29" t="e">
        <f>IF('4'!#REF!,"AAAAAH/P7XI=",0)</f>
        <v>#REF!</v>
      </c>
      <c r="DL29" t="e">
        <f>AND('4'!#REF!,"AAAAAH/P7XM=")</f>
        <v>#REF!</v>
      </c>
      <c r="DM29" t="e">
        <f>AND('4'!#REF!,"AAAAAH/P7XQ=")</f>
        <v>#REF!</v>
      </c>
      <c r="DN29" t="e">
        <f>AND('4'!#REF!,"AAAAAH/P7XU=")</f>
        <v>#REF!</v>
      </c>
      <c r="DO29" t="e">
        <f>AND('4'!#REF!,"AAAAAH/P7XY=")</f>
        <v>#REF!</v>
      </c>
      <c r="DP29" t="e">
        <f>AND('4'!#REF!,"AAAAAH/P7Xc=")</f>
        <v>#REF!</v>
      </c>
      <c r="DQ29" t="e">
        <f>AND('4'!#REF!,"AAAAAH/P7Xg=")</f>
        <v>#REF!</v>
      </c>
      <c r="DR29" t="e">
        <f>AND('4'!#REF!,"AAAAAH/P7Xk=")</f>
        <v>#REF!</v>
      </c>
      <c r="DS29" t="e">
        <f>AND('4'!#REF!,"AAAAAH/P7Xo=")</f>
        <v>#REF!</v>
      </c>
      <c r="DT29" t="e">
        <f>AND('4'!#REF!,"AAAAAH/P7Xs=")</f>
        <v>#REF!</v>
      </c>
      <c r="DU29" t="e">
        <f>AND('4'!#REF!,"AAAAAH/P7Xw=")</f>
        <v>#REF!</v>
      </c>
      <c r="DV29" t="e">
        <f>AND('4'!#REF!,"AAAAAH/P7X0=")</f>
        <v>#REF!</v>
      </c>
      <c r="DW29" t="e">
        <f>AND('4'!#REF!,"AAAAAH/P7X4=")</f>
        <v>#REF!</v>
      </c>
      <c r="DX29" t="e">
        <f>AND('4'!#REF!,"AAAAAH/P7X8=")</f>
        <v>#REF!</v>
      </c>
      <c r="DY29" t="e">
        <f>AND('4'!#REF!,"AAAAAH/P7YA=")</f>
        <v>#REF!</v>
      </c>
      <c r="DZ29" t="e">
        <f>AND('4'!#REF!,"AAAAAH/P7YE=")</f>
        <v>#REF!</v>
      </c>
      <c r="EA29" t="e">
        <f>AND('4'!#REF!,"AAAAAH/P7YI=")</f>
        <v>#REF!</v>
      </c>
      <c r="EB29" t="e">
        <f>AND('4'!#REF!,"AAAAAH/P7YM=")</f>
        <v>#REF!</v>
      </c>
      <c r="EC29" t="e">
        <f>AND('4'!#REF!,"AAAAAH/P7YQ=")</f>
        <v>#REF!</v>
      </c>
      <c r="ED29" t="e">
        <f>AND('4'!#REF!,"AAAAAH/P7YU=")</f>
        <v>#REF!</v>
      </c>
      <c r="EE29" t="e">
        <f>AND('4'!#REF!,"AAAAAH/P7YY=")</f>
        <v>#REF!</v>
      </c>
      <c r="EF29" t="e">
        <f>IF('4'!#REF!,"AAAAAH/P7Yc=",0)</f>
        <v>#REF!</v>
      </c>
      <c r="EG29" t="e">
        <f>AND('4'!#REF!,"AAAAAH/P7Yg=")</f>
        <v>#REF!</v>
      </c>
      <c r="EH29" t="e">
        <f>AND('4'!#REF!,"AAAAAH/P7Yk=")</f>
        <v>#REF!</v>
      </c>
      <c r="EI29" t="e">
        <f>AND('4'!#REF!,"AAAAAH/P7Yo=")</f>
        <v>#REF!</v>
      </c>
      <c r="EJ29" t="e">
        <f>AND('4'!#REF!,"AAAAAH/P7Ys=")</f>
        <v>#REF!</v>
      </c>
      <c r="EK29" t="e">
        <f>AND('4'!#REF!,"AAAAAH/P7Yw=")</f>
        <v>#REF!</v>
      </c>
      <c r="EL29" t="e">
        <f>AND('4'!#REF!,"AAAAAH/P7Y0=")</f>
        <v>#REF!</v>
      </c>
      <c r="EM29" t="e">
        <f>AND('4'!#REF!,"AAAAAH/P7Y4=")</f>
        <v>#REF!</v>
      </c>
      <c r="EN29" t="e">
        <f>AND('4'!#REF!,"AAAAAH/P7Y8=")</f>
        <v>#REF!</v>
      </c>
      <c r="EO29" t="e">
        <f>AND('4'!#REF!,"AAAAAH/P7ZA=")</f>
        <v>#REF!</v>
      </c>
      <c r="EP29" t="e">
        <f>AND('4'!#REF!,"AAAAAH/P7ZE=")</f>
        <v>#REF!</v>
      </c>
      <c r="EQ29" t="e">
        <f>AND('4'!#REF!,"AAAAAH/P7ZI=")</f>
        <v>#REF!</v>
      </c>
      <c r="ER29" t="e">
        <f>AND('4'!#REF!,"AAAAAH/P7ZM=")</f>
        <v>#REF!</v>
      </c>
      <c r="ES29" t="e">
        <f>AND('4'!#REF!,"AAAAAH/P7ZQ=")</f>
        <v>#REF!</v>
      </c>
      <c r="ET29" t="e">
        <f>AND('4'!#REF!,"AAAAAH/P7ZU=")</f>
        <v>#REF!</v>
      </c>
      <c r="EU29" t="e">
        <f>AND('4'!#REF!,"AAAAAH/P7ZY=")</f>
        <v>#REF!</v>
      </c>
      <c r="EV29" t="e">
        <f>AND('4'!#REF!,"AAAAAH/P7Zc=")</f>
        <v>#REF!</v>
      </c>
      <c r="EW29" t="e">
        <f>AND('4'!#REF!,"AAAAAH/P7Zg=")</f>
        <v>#REF!</v>
      </c>
      <c r="EX29" t="e">
        <f>AND('4'!#REF!,"AAAAAH/P7Zk=")</f>
        <v>#REF!</v>
      </c>
      <c r="EY29" t="e">
        <f>AND('4'!#REF!,"AAAAAH/P7Zo=")</f>
        <v>#REF!</v>
      </c>
      <c r="EZ29" t="e">
        <f>AND('4'!#REF!,"AAAAAH/P7Zs=")</f>
        <v>#REF!</v>
      </c>
      <c r="FA29" t="e">
        <f>IF('4'!#REF!,"AAAAAH/P7Zw=",0)</f>
        <v>#REF!</v>
      </c>
      <c r="FB29" t="e">
        <f>AND('4'!#REF!,"AAAAAH/P7Z0=")</f>
        <v>#REF!</v>
      </c>
      <c r="FC29" t="e">
        <f>AND('4'!#REF!,"AAAAAH/P7Z4=")</f>
        <v>#REF!</v>
      </c>
      <c r="FD29" t="e">
        <f>AND('4'!#REF!,"AAAAAH/P7Z8=")</f>
        <v>#REF!</v>
      </c>
      <c r="FE29" t="e">
        <f>AND('4'!#REF!,"AAAAAH/P7aA=")</f>
        <v>#REF!</v>
      </c>
      <c r="FF29" t="e">
        <f>AND('4'!#REF!,"AAAAAH/P7aE=")</f>
        <v>#REF!</v>
      </c>
      <c r="FG29" t="e">
        <f>AND('4'!#REF!,"AAAAAH/P7aI=")</f>
        <v>#REF!</v>
      </c>
      <c r="FH29" t="e">
        <f>AND('4'!#REF!,"AAAAAH/P7aM=")</f>
        <v>#REF!</v>
      </c>
      <c r="FI29" t="e">
        <f>AND('4'!#REF!,"AAAAAH/P7aQ=")</f>
        <v>#REF!</v>
      </c>
      <c r="FJ29" t="e">
        <f>AND('4'!#REF!,"AAAAAH/P7aU=")</f>
        <v>#REF!</v>
      </c>
      <c r="FK29" t="e">
        <f>AND('4'!#REF!,"AAAAAH/P7aY=")</f>
        <v>#REF!</v>
      </c>
      <c r="FL29" t="e">
        <f>AND('4'!#REF!,"AAAAAH/P7ac=")</f>
        <v>#REF!</v>
      </c>
      <c r="FM29" t="e">
        <f>AND('4'!#REF!,"AAAAAH/P7ag=")</f>
        <v>#REF!</v>
      </c>
      <c r="FN29" t="e">
        <f>AND('4'!#REF!,"AAAAAH/P7ak=")</f>
        <v>#REF!</v>
      </c>
      <c r="FO29" t="e">
        <f>AND('4'!#REF!,"AAAAAH/P7ao=")</f>
        <v>#REF!</v>
      </c>
      <c r="FP29" t="e">
        <f>AND('4'!#REF!,"AAAAAH/P7as=")</f>
        <v>#REF!</v>
      </c>
      <c r="FQ29" t="e">
        <f>AND('4'!#REF!,"AAAAAH/P7aw=")</f>
        <v>#REF!</v>
      </c>
      <c r="FR29" t="e">
        <f>AND('4'!#REF!,"AAAAAH/P7a0=")</f>
        <v>#REF!</v>
      </c>
      <c r="FS29" t="e">
        <f>AND('4'!#REF!,"AAAAAH/P7a4=")</f>
        <v>#REF!</v>
      </c>
      <c r="FT29" t="e">
        <f>AND('4'!#REF!,"AAAAAH/P7a8=")</f>
        <v>#REF!</v>
      </c>
      <c r="FU29" t="e">
        <f>AND('4'!#REF!,"AAAAAH/P7bA=")</f>
        <v>#REF!</v>
      </c>
      <c r="FV29" t="e">
        <f>IF('4'!#REF!,"AAAAAH/P7bE=",0)</f>
        <v>#REF!</v>
      </c>
      <c r="FW29" t="e">
        <f>AND('4'!#REF!,"AAAAAH/P7bI=")</f>
        <v>#REF!</v>
      </c>
      <c r="FX29" t="e">
        <f>AND('4'!#REF!,"AAAAAH/P7bM=")</f>
        <v>#REF!</v>
      </c>
      <c r="FY29" t="e">
        <f>AND('4'!#REF!,"AAAAAH/P7bQ=")</f>
        <v>#REF!</v>
      </c>
      <c r="FZ29" t="e">
        <f>AND('4'!#REF!,"AAAAAH/P7bU=")</f>
        <v>#REF!</v>
      </c>
      <c r="GA29" t="e">
        <f>AND('4'!#REF!,"AAAAAH/P7bY=")</f>
        <v>#REF!</v>
      </c>
      <c r="GB29" t="e">
        <f>AND('4'!#REF!,"AAAAAH/P7bc=")</f>
        <v>#REF!</v>
      </c>
      <c r="GC29" t="e">
        <f>AND('4'!#REF!,"AAAAAH/P7bg=")</f>
        <v>#REF!</v>
      </c>
      <c r="GD29" t="e">
        <f>AND('4'!#REF!,"AAAAAH/P7bk=")</f>
        <v>#REF!</v>
      </c>
      <c r="GE29" t="e">
        <f>AND('4'!#REF!,"AAAAAH/P7bo=")</f>
        <v>#REF!</v>
      </c>
      <c r="GF29" t="e">
        <f>AND('4'!#REF!,"AAAAAH/P7bs=")</f>
        <v>#REF!</v>
      </c>
      <c r="GG29" t="e">
        <f>AND('4'!#REF!,"AAAAAH/P7bw=")</f>
        <v>#REF!</v>
      </c>
      <c r="GH29" t="e">
        <f>AND('4'!#REF!,"AAAAAH/P7b0=")</f>
        <v>#REF!</v>
      </c>
      <c r="GI29" t="e">
        <f>AND('4'!#REF!,"AAAAAH/P7b4=")</f>
        <v>#REF!</v>
      </c>
      <c r="GJ29" t="e">
        <f>AND('4'!#REF!,"AAAAAH/P7b8=")</f>
        <v>#REF!</v>
      </c>
      <c r="GK29" t="e">
        <f>AND('4'!#REF!,"AAAAAH/P7cA=")</f>
        <v>#REF!</v>
      </c>
      <c r="GL29" t="e">
        <f>AND('4'!#REF!,"AAAAAH/P7cE=")</f>
        <v>#REF!</v>
      </c>
      <c r="GM29" t="e">
        <f>AND('4'!#REF!,"AAAAAH/P7cI=")</f>
        <v>#REF!</v>
      </c>
      <c r="GN29" t="e">
        <f>AND('4'!#REF!,"AAAAAH/P7cM=")</f>
        <v>#REF!</v>
      </c>
      <c r="GO29" t="e">
        <f>AND('4'!#REF!,"AAAAAH/P7cQ=")</f>
        <v>#REF!</v>
      </c>
      <c r="GP29" t="e">
        <f>AND('4'!#REF!,"AAAAAH/P7cU=")</f>
        <v>#REF!</v>
      </c>
      <c r="GQ29" t="e">
        <f>IF('4'!#REF!,"AAAAAH/P7cY=",0)</f>
        <v>#REF!</v>
      </c>
      <c r="GR29" t="e">
        <f>AND('4'!#REF!,"AAAAAH/P7cc=")</f>
        <v>#REF!</v>
      </c>
      <c r="GS29" t="e">
        <f>AND('4'!#REF!,"AAAAAH/P7cg=")</f>
        <v>#REF!</v>
      </c>
      <c r="GT29" t="e">
        <f>AND('4'!#REF!,"AAAAAH/P7ck=")</f>
        <v>#REF!</v>
      </c>
      <c r="GU29" t="e">
        <f>AND('4'!#REF!,"AAAAAH/P7co=")</f>
        <v>#REF!</v>
      </c>
      <c r="GV29" t="e">
        <f>AND('4'!#REF!,"AAAAAH/P7cs=")</f>
        <v>#REF!</v>
      </c>
      <c r="GW29" t="e">
        <f>AND('4'!#REF!,"AAAAAH/P7cw=")</f>
        <v>#REF!</v>
      </c>
      <c r="GX29" t="e">
        <f>AND('4'!#REF!,"AAAAAH/P7c0=")</f>
        <v>#REF!</v>
      </c>
      <c r="GY29" t="e">
        <f>AND('4'!#REF!,"AAAAAH/P7c4=")</f>
        <v>#REF!</v>
      </c>
      <c r="GZ29" t="e">
        <f>AND('4'!#REF!,"AAAAAH/P7c8=")</f>
        <v>#REF!</v>
      </c>
      <c r="HA29" t="e">
        <f>AND('4'!#REF!,"AAAAAH/P7dA=")</f>
        <v>#REF!</v>
      </c>
      <c r="HB29" t="e">
        <f>AND('4'!#REF!,"AAAAAH/P7dE=")</f>
        <v>#REF!</v>
      </c>
      <c r="HC29" t="e">
        <f>AND('4'!#REF!,"AAAAAH/P7dI=")</f>
        <v>#REF!</v>
      </c>
      <c r="HD29" t="e">
        <f>AND('4'!#REF!,"AAAAAH/P7dM=")</f>
        <v>#REF!</v>
      </c>
      <c r="HE29" t="e">
        <f>AND('4'!#REF!,"AAAAAH/P7dQ=")</f>
        <v>#REF!</v>
      </c>
      <c r="HF29" t="e">
        <f>AND('4'!#REF!,"AAAAAH/P7dU=")</f>
        <v>#REF!</v>
      </c>
      <c r="HG29" t="e">
        <f>AND('4'!#REF!,"AAAAAH/P7dY=")</f>
        <v>#REF!</v>
      </c>
      <c r="HH29" t="e">
        <f>AND('4'!#REF!,"AAAAAH/P7dc=")</f>
        <v>#REF!</v>
      </c>
      <c r="HI29" t="e">
        <f>AND('4'!#REF!,"AAAAAH/P7dg=")</f>
        <v>#REF!</v>
      </c>
      <c r="HJ29" t="e">
        <f>AND('4'!#REF!,"AAAAAH/P7dk=")</f>
        <v>#REF!</v>
      </c>
      <c r="HK29" t="e">
        <f>AND('4'!#REF!,"AAAAAH/P7do=")</f>
        <v>#REF!</v>
      </c>
      <c r="HL29" t="e">
        <f>IF('4'!#REF!,"AAAAAH/P7ds=",0)</f>
        <v>#REF!</v>
      </c>
      <c r="HM29" t="e">
        <f>AND('4'!#REF!,"AAAAAH/P7dw=")</f>
        <v>#REF!</v>
      </c>
      <c r="HN29" t="e">
        <f>AND('4'!#REF!,"AAAAAH/P7d0=")</f>
        <v>#REF!</v>
      </c>
      <c r="HO29" t="e">
        <f>AND('4'!#REF!,"AAAAAH/P7d4=")</f>
        <v>#REF!</v>
      </c>
      <c r="HP29" t="e">
        <f>AND('4'!#REF!,"AAAAAH/P7d8=")</f>
        <v>#REF!</v>
      </c>
      <c r="HQ29" t="e">
        <f>AND('4'!#REF!,"AAAAAH/P7eA=")</f>
        <v>#REF!</v>
      </c>
      <c r="HR29" t="e">
        <f>AND('4'!#REF!,"AAAAAH/P7eE=")</f>
        <v>#REF!</v>
      </c>
      <c r="HS29" t="e">
        <f>AND('4'!#REF!,"AAAAAH/P7eI=")</f>
        <v>#REF!</v>
      </c>
      <c r="HT29" t="e">
        <f>AND('4'!#REF!,"AAAAAH/P7eM=")</f>
        <v>#REF!</v>
      </c>
      <c r="HU29" t="e">
        <f>AND('4'!#REF!,"AAAAAH/P7eQ=")</f>
        <v>#REF!</v>
      </c>
      <c r="HV29" t="e">
        <f>AND('4'!#REF!,"AAAAAH/P7eU=")</f>
        <v>#REF!</v>
      </c>
      <c r="HW29" t="e">
        <f>AND('4'!#REF!,"AAAAAH/P7eY=")</f>
        <v>#REF!</v>
      </c>
      <c r="HX29" t="e">
        <f>AND('4'!#REF!,"AAAAAH/P7ec=")</f>
        <v>#REF!</v>
      </c>
      <c r="HY29" t="e">
        <f>AND('4'!#REF!,"AAAAAH/P7eg=")</f>
        <v>#REF!</v>
      </c>
      <c r="HZ29" t="e">
        <f>AND('4'!#REF!,"AAAAAH/P7ek=")</f>
        <v>#REF!</v>
      </c>
      <c r="IA29" t="e">
        <f>AND('4'!#REF!,"AAAAAH/P7eo=")</f>
        <v>#REF!</v>
      </c>
      <c r="IB29" t="e">
        <f>AND('4'!#REF!,"AAAAAH/P7es=")</f>
        <v>#REF!</v>
      </c>
      <c r="IC29" t="e">
        <f>AND('4'!#REF!,"AAAAAH/P7ew=")</f>
        <v>#REF!</v>
      </c>
      <c r="ID29" t="e">
        <f>AND('4'!#REF!,"AAAAAH/P7e0=")</f>
        <v>#REF!</v>
      </c>
      <c r="IE29" t="e">
        <f>AND('4'!#REF!,"AAAAAH/P7e4=")</f>
        <v>#REF!</v>
      </c>
      <c r="IF29" t="e">
        <f>AND('4'!#REF!,"AAAAAH/P7e8=")</f>
        <v>#REF!</v>
      </c>
      <c r="IG29" t="e">
        <f>IF('4'!#REF!,"AAAAAH/P7fA=",0)</f>
        <v>#REF!</v>
      </c>
      <c r="IH29" t="e">
        <f>AND('4'!#REF!,"AAAAAH/P7fE=")</f>
        <v>#REF!</v>
      </c>
      <c r="II29" t="e">
        <f>AND('4'!#REF!,"AAAAAH/P7fI=")</f>
        <v>#REF!</v>
      </c>
      <c r="IJ29" t="e">
        <f>AND('4'!#REF!,"AAAAAH/P7fM=")</f>
        <v>#REF!</v>
      </c>
      <c r="IK29" t="e">
        <f>AND('4'!#REF!,"AAAAAH/P7fQ=")</f>
        <v>#REF!</v>
      </c>
      <c r="IL29" t="e">
        <f>AND('4'!#REF!,"AAAAAH/P7fU=")</f>
        <v>#REF!</v>
      </c>
      <c r="IM29" t="e">
        <f>AND('4'!#REF!,"AAAAAH/P7fY=")</f>
        <v>#REF!</v>
      </c>
      <c r="IN29" t="e">
        <f>AND('4'!#REF!,"AAAAAH/P7fc=")</f>
        <v>#REF!</v>
      </c>
      <c r="IO29" t="e">
        <f>AND('4'!#REF!,"AAAAAH/P7fg=")</f>
        <v>#REF!</v>
      </c>
      <c r="IP29" t="e">
        <f>AND('4'!#REF!,"AAAAAH/P7fk=")</f>
        <v>#REF!</v>
      </c>
      <c r="IQ29" t="e">
        <f>AND('4'!#REF!,"AAAAAH/P7fo=")</f>
        <v>#REF!</v>
      </c>
      <c r="IR29" t="e">
        <f>AND('4'!#REF!,"AAAAAH/P7fs=")</f>
        <v>#REF!</v>
      </c>
      <c r="IS29" t="e">
        <f>AND('4'!#REF!,"AAAAAH/P7fw=")</f>
        <v>#REF!</v>
      </c>
      <c r="IT29" t="e">
        <f>AND('4'!#REF!,"AAAAAH/P7f0=")</f>
        <v>#REF!</v>
      </c>
      <c r="IU29" t="e">
        <f>AND('4'!#REF!,"AAAAAH/P7f4=")</f>
        <v>#REF!</v>
      </c>
      <c r="IV29" t="e">
        <f>AND('4'!#REF!,"AAAAAH/P7f8=")</f>
        <v>#REF!</v>
      </c>
    </row>
    <row r="30" spans="1:256" x14ac:dyDescent="0.25">
      <c r="A30" t="e">
        <f>AND('4'!#REF!,"AAAAAHmzXAA=")</f>
        <v>#REF!</v>
      </c>
      <c r="B30" t="e">
        <f>AND('4'!#REF!,"AAAAAHmzXAE=")</f>
        <v>#REF!</v>
      </c>
      <c r="C30" t="e">
        <f>AND('4'!#REF!,"AAAAAHmzXAI=")</f>
        <v>#REF!</v>
      </c>
      <c r="D30" t="e">
        <f>AND('4'!#REF!,"AAAAAHmzXAM=")</f>
        <v>#REF!</v>
      </c>
      <c r="E30" t="e">
        <f>AND('4'!#REF!,"AAAAAHmzXAQ=")</f>
        <v>#REF!</v>
      </c>
      <c r="F30" t="e">
        <f>IF('4'!#REF!,"AAAAAHmzXAU=",0)</f>
        <v>#REF!</v>
      </c>
      <c r="G30" t="e">
        <f>AND('4'!#REF!,"AAAAAHmzXAY=")</f>
        <v>#REF!</v>
      </c>
      <c r="H30" t="e">
        <f>AND('4'!#REF!,"AAAAAHmzXAc=")</f>
        <v>#REF!</v>
      </c>
      <c r="I30" t="e">
        <f>AND('4'!#REF!,"AAAAAHmzXAg=")</f>
        <v>#REF!</v>
      </c>
      <c r="J30" t="e">
        <f>AND('4'!#REF!,"AAAAAHmzXAk=")</f>
        <v>#REF!</v>
      </c>
      <c r="K30" t="e">
        <f>AND('4'!#REF!,"AAAAAHmzXAo=")</f>
        <v>#REF!</v>
      </c>
      <c r="L30" t="e">
        <f>AND('4'!#REF!,"AAAAAHmzXAs=")</f>
        <v>#REF!</v>
      </c>
      <c r="M30" t="e">
        <f>AND('4'!#REF!,"AAAAAHmzXAw=")</f>
        <v>#REF!</v>
      </c>
      <c r="N30" t="e">
        <f>AND('4'!#REF!,"AAAAAHmzXA0=")</f>
        <v>#REF!</v>
      </c>
      <c r="O30" t="e">
        <f>AND('4'!#REF!,"AAAAAHmzXA4=")</f>
        <v>#REF!</v>
      </c>
      <c r="P30" t="e">
        <f>AND('4'!#REF!,"AAAAAHmzXA8=")</f>
        <v>#REF!</v>
      </c>
      <c r="Q30" t="e">
        <f>AND('4'!#REF!,"AAAAAHmzXBA=")</f>
        <v>#REF!</v>
      </c>
      <c r="R30" t="e">
        <f>AND('4'!#REF!,"AAAAAHmzXBE=")</f>
        <v>#REF!</v>
      </c>
      <c r="S30" t="e">
        <f>AND('4'!#REF!,"AAAAAHmzXBI=")</f>
        <v>#REF!</v>
      </c>
      <c r="T30" t="e">
        <f>AND('4'!#REF!,"AAAAAHmzXBM=")</f>
        <v>#REF!</v>
      </c>
      <c r="U30" t="e">
        <f>AND('4'!#REF!,"AAAAAHmzXBQ=")</f>
        <v>#REF!</v>
      </c>
      <c r="V30" t="e">
        <f>AND('4'!#REF!,"AAAAAHmzXBU=")</f>
        <v>#REF!</v>
      </c>
      <c r="W30" t="e">
        <f>AND('4'!#REF!,"AAAAAHmzXBY=")</f>
        <v>#REF!</v>
      </c>
      <c r="X30" t="e">
        <f>AND('4'!#REF!,"AAAAAHmzXBc=")</f>
        <v>#REF!</v>
      </c>
      <c r="Y30" t="e">
        <f>AND('4'!#REF!,"AAAAAHmzXBg=")</f>
        <v>#REF!</v>
      </c>
      <c r="Z30" t="e">
        <f>AND('4'!#REF!,"AAAAAHmzXBk=")</f>
        <v>#REF!</v>
      </c>
      <c r="AA30" t="e">
        <f>IF('4'!#REF!,"AAAAAHmzXBo=",0)</f>
        <v>#REF!</v>
      </c>
      <c r="AB30" t="e">
        <f>AND('4'!#REF!,"AAAAAHmzXBs=")</f>
        <v>#REF!</v>
      </c>
      <c r="AC30" t="e">
        <f>AND('4'!#REF!,"AAAAAHmzXBw=")</f>
        <v>#REF!</v>
      </c>
      <c r="AD30" t="e">
        <f>AND('4'!#REF!,"AAAAAHmzXB0=")</f>
        <v>#REF!</v>
      </c>
      <c r="AE30" t="e">
        <f>AND('4'!#REF!,"AAAAAHmzXB4=")</f>
        <v>#REF!</v>
      </c>
      <c r="AF30" t="e">
        <f>AND('4'!#REF!,"AAAAAHmzXB8=")</f>
        <v>#REF!</v>
      </c>
      <c r="AG30" t="e">
        <f>AND('4'!#REF!,"AAAAAHmzXCA=")</f>
        <v>#REF!</v>
      </c>
      <c r="AH30" t="e">
        <f>AND('4'!#REF!,"AAAAAHmzXCE=")</f>
        <v>#REF!</v>
      </c>
      <c r="AI30" t="e">
        <f>AND('4'!#REF!,"AAAAAHmzXCI=")</f>
        <v>#REF!</v>
      </c>
      <c r="AJ30" t="e">
        <f>AND('4'!#REF!,"AAAAAHmzXCM=")</f>
        <v>#REF!</v>
      </c>
      <c r="AK30" t="e">
        <f>AND('4'!#REF!,"AAAAAHmzXCQ=")</f>
        <v>#REF!</v>
      </c>
      <c r="AL30" t="e">
        <f>AND('4'!#REF!,"AAAAAHmzXCU=")</f>
        <v>#REF!</v>
      </c>
      <c r="AM30" t="e">
        <f>AND('4'!#REF!,"AAAAAHmzXCY=")</f>
        <v>#REF!</v>
      </c>
      <c r="AN30" t="e">
        <f>AND('4'!#REF!,"AAAAAHmzXCc=")</f>
        <v>#REF!</v>
      </c>
      <c r="AO30" t="e">
        <f>AND('4'!#REF!,"AAAAAHmzXCg=")</f>
        <v>#REF!</v>
      </c>
      <c r="AP30" t="e">
        <f>AND('4'!#REF!,"AAAAAHmzXCk=")</f>
        <v>#REF!</v>
      </c>
      <c r="AQ30" t="e">
        <f>AND('4'!#REF!,"AAAAAHmzXCo=")</f>
        <v>#REF!</v>
      </c>
      <c r="AR30" t="e">
        <f>AND('4'!#REF!,"AAAAAHmzXCs=")</f>
        <v>#REF!</v>
      </c>
      <c r="AS30" t="e">
        <f>AND('4'!#REF!,"AAAAAHmzXCw=")</f>
        <v>#REF!</v>
      </c>
      <c r="AT30" t="e">
        <f>AND('4'!#REF!,"AAAAAHmzXC0=")</f>
        <v>#REF!</v>
      </c>
      <c r="AU30" t="e">
        <f>AND('4'!#REF!,"AAAAAHmzXC4=")</f>
        <v>#REF!</v>
      </c>
      <c r="AV30" t="e">
        <f>IF('4'!#REF!,"AAAAAHmzXC8=",0)</f>
        <v>#REF!</v>
      </c>
      <c r="AW30" t="e">
        <f>AND('4'!#REF!,"AAAAAHmzXDA=")</f>
        <v>#REF!</v>
      </c>
      <c r="AX30" t="e">
        <f>AND('4'!#REF!,"AAAAAHmzXDE=")</f>
        <v>#REF!</v>
      </c>
      <c r="AY30" t="e">
        <f>AND('4'!#REF!,"AAAAAHmzXDI=")</f>
        <v>#REF!</v>
      </c>
      <c r="AZ30" t="e">
        <f>AND('4'!#REF!,"AAAAAHmzXDM=")</f>
        <v>#REF!</v>
      </c>
      <c r="BA30" t="e">
        <f>AND('4'!#REF!,"AAAAAHmzXDQ=")</f>
        <v>#REF!</v>
      </c>
      <c r="BB30" t="e">
        <f>AND('4'!#REF!,"AAAAAHmzXDU=")</f>
        <v>#REF!</v>
      </c>
      <c r="BC30" t="e">
        <f>AND('4'!#REF!,"AAAAAHmzXDY=")</f>
        <v>#REF!</v>
      </c>
      <c r="BD30" t="e">
        <f>AND('4'!#REF!,"AAAAAHmzXDc=")</f>
        <v>#REF!</v>
      </c>
      <c r="BE30" t="e">
        <f>AND('4'!#REF!,"AAAAAHmzXDg=")</f>
        <v>#REF!</v>
      </c>
      <c r="BF30" t="e">
        <f>AND('4'!#REF!,"AAAAAHmzXDk=")</f>
        <v>#REF!</v>
      </c>
      <c r="BG30" t="e">
        <f>AND('4'!#REF!,"AAAAAHmzXDo=")</f>
        <v>#REF!</v>
      </c>
      <c r="BH30" t="e">
        <f>AND('4'!#REF!,"AAAAAHmzXDs=")</f>
        <v>#REF!</v>
      </c>
      <c r="BI30" t="e">
        <f>AND('4'!#REF!,"AAAAAHmzXDw=")</f>
        <v>#REF!</v>
      </c>
      <c r="BJ30" t="e">
        <f>AND('4'!#REF!,"AAAAAHmzXD0=")</f>
        <v>#REF!</v>
      </c>
      <c r="BK30" t="e">
        <f>AND('4'!#REF!,"AAAAAHmzXD4=")</f>
        <v>#REF!</v>
      </c>
      <c r="BL30" t="e">
        <f>AND('4'!#REF!,"AAAAAHmzXD8=")</f>
        <v>#REF!</v>
      </c>
      <c r="BM30" t="e">
        <f>AND('4'!#REF!,"AAAAAHmzXEA=")</f>
        <v>#REF!</v>
      </c>
      <c r="BN30" t="e">
        <f>AND('4'!#REF!,"AAAAAHmzXEE=")</f>
        <v>#REF!</v>
      </c>
      <c r="BO30" t="e">
        <f>AND('4'!#REF!,"AAAAAHmzXEI=")</f>
        <v>#REF!</v>
      </c>
      <c r="BP30" t="e">
        <f>AND('4'!#REF!,"AAAAAHmzXEM=")</f>
        <v>#REF!</v>
      </c>
      <c r="BQ30" t="e">
        <f>IF('4'!#REF!,"AAAAAHmzXEQ=",0)</f>
        <v>#REF!</v>
      </c>
      <c r="BR30" t="e">
        <f>AND('4'!#REF!,"AAAAAHmzXEU=")</f>
        <v>#REF!</v>
      </c>
      <c r="BS30" t="e">
        <f>AND('4'!#REF!,"AAAAAHmzXEY=")</f>
        <v>#REF!</v>
      </c>
      <c r="BT30" t="e">
        <f>AND('4'!#REF!,"AAAAAHmzXEc=")</f>
        <v>#REF!</v>
      </c>
      <c r="BU30" t="e">
        <f>AND('4'!#REF!,"AAAAAHmzXEg=")</f>
        <v>#REF!</v>
      </c>
      <c r="BV30" t="e">
        <f>AND('4'!#REF!,"AAAAAHmzXEk=")</f>
        <v>#REF!</v>
      </c>
      <c r="BW30" t="e">
        <f>AND('4'!#REF!,"AAAAAHmzXEo=")</f>
        <v>#REF!</v>
      </c>
      <c r="BX30" t="e">
        <f>AND('4'!#REF!,"AAAAAHmzXEs=")</f>
        <v>#REF!</v>
      </c>
      <c r="BY30" t="e">
        <f>AND('4'!#REF!,"AAAAAHmzXEw=")</f>
        <v>#REF!</v>
      </c>
      <c r="BZ30" t="e">
        <f>AND('4'!#REF!,"AAAAAHmzXE0=")</f>
        <v>#REF!</v>
      </c>
      <c r="CA30" t="e">
        <f>AND('4'!#REF!,"AAAAAHmzXE4=")</f>
        <v>#REF!</v>
      </c>
      <c r="CB30" t="e">
        <f>AND('4'!#REF!,"AAAAAHmzXE8=")</f>
        <v>#REF!</v>
      </c>
      <c r="CC30" t="e">
        <f>AND('4'!#REF!,"AAAAAHmzXFA=")</f>
        <v>#REF!</v>
      </c>
      <c r="CD30" t="e">
        <f>AND('4'!#REF!,"AAAAAHmzXFE=")</f>
        <v>#REF!</v>
      </c>
      <c r="CE30" t="e">
        <f>AND('4'!#REF!,"AAAAAHmzXFI=")</f>
        <v>#REF!</v>
      </c>
      <c r="CF30" t="e">
        <f>AND('4'!#REF!,"AAAAAHmzXFM=")</f>
        <v>#REF!</v>
      </c>
      <c r="CG30" t="e">
        <f>AND('4'!#REF!,"AAAAAHmzXFQ=")</f>
        <v>#REF!</v>
      </c>
      <c r="CH30" t="e">
        <f>AND('4'!#REF!,"AAAAAHmzXFU=")</f>
        <v>#REF!</v>
      </c>
      <c r="CI30" t="e">
        <f>AND('4'!#REF!,"AAAAAHmzXFY=")</f>
        <v>#REF!</v>
      </c>
      <c r="CJ30" t="e">
        <f>AND('4'!#REF!,"AAAAAHmzXFc=")</f>
        <v>#REF!</v>
      </c>
      <c r="CK30" t="e">
        <f>AND('4'!#REF!,"AAAAAHmzXFg=")</f>
        <v>#REF!</v>
      </c>
      <c r="CL30" t="e">
        <f>IF('4'!#REF!,"AAAAAHmzXFk=",0)</f>
        <v>#REF!</v>
      </c>
      <c r="CM30" t="e">
        <f>AND('4'!#REF!,"AAAAAHmzXFo=")</f>
        <v>#REF!</v>
      </c>
      <c r="CN30" t="e">
        <f>AND('4'!#REF!,"AAAAAHmzXFs=")</f>
        <v>#REF!</v>
      </c>
      <c r="CO30" t="e">
        <f>AND('4'!#REF!,"AAAAAHmzXFw=")</f>
        <v>#REF!</v>
      </c>
      <c r="CP30" t="e">
        <f>AND('4'!#REF!,"AAAAAHmzXF0=")</f>
        <v>#REF!</v>
      </c>
      <c r="CQ30" t="e">
        <f>AND('4'!#REF!,"AAAAAHmzXF4=")</f>
        <v>#REF!</v>
      </c>
      <c r="CR30" t="e">
        <f>AND('4'!#REF!,"AAAAAHmzXF8=")</f>
        <v>#REF!</v>
      </c>
      <c r="CS30" t="e">
        <f>AND('4'!#REF!,"AAAAAHmzXGA=")</f>
        <v>#REF!</v>
      </c>
      <c r="CT30" t="e">
        <f>AND('4'!#REF!,"AAAAAHmzXGE=")</f>
        <v>#REF!</v>
      </c>
      <c r="CU30" t="e">
        <f>AND('4'!#REF!,"AAAAAHmzXGI=")</f>
        <v>#REF!</v>
      </c>
      <c r="CV30" t="e">
        <f>AND('4'!#REF!,"AAAAAHmzXGM=")</f>
        <v>#REF!</v>
      </c>
      <c r="CW30" t="e">
        <f>AND('4'!#REF!,"AAAAAHmzXGQ=")</f>
        <v>#REF!</v>
      </c>
      <c r="CX30" t="e">
        <f>AND('4'!#REF!,"AAAAAHmzXGU=")</f>
        <v>#REF!</v>
      </c>
      <c r="CY30" t="e">
        <f>AND('4'!#REF!,"AAAAAHmzXGY=")</f>
        <v>#REF!</v>
      </c>
      <c r="CZ30" t="e">
        <f>AND('4'!#REF!,"AAAAAHmzXGc=")</f>
        <v>#REF!</v>
      </c>
      <c r="DA30" t="e">
        <f>AND('4'!#REF!,"AAAAAHmzXGg=")</f>
        <v>#REF!</v>
      </c>
      <c r="DB30" t="e">
        <f>AND('4'!#REF!,"AAAAAHmzXGk=")</f>
        <v>#REF!</v>
      </c>
      <c r="DC30" t="e">
        <f>AND('4'!#REF!,"AAAAAHmzXGo=")</f>
        <v>#REF!</v>
      </c>
      <c r="DD30" t="e">
        <f>AND('4'!#REF!,"AAAAAHmzXGs=")</f>
        <v>#REF!</v>
      </c>
      <c r="DE30" t="e">
        <f>AND('4'!#REF!,"AAAAAHmzXGw=")</f>
        <v>#REF!</v>
      </c>
      <c r="DF30" t="e">
        <f>AND('4'!#REF!,"AAAAAHmzXG0=")</f>
        <v>#REF!</v>
      </c>
      <c r="DG30" t="e">
        <f>IF('4'!#REF!,"AAAAAHmzXG4=",0)</f>
        <v>#REF!</v>
      </c>
      <c r="DH30" t="e">
        <f>AND('4'!#REF!,"AAAAAHmzXG8=")</f>
        <v>#REF!</v>
      </c>
      <c r="DI30" t="e">
        <f>AND('4'!#REF!,"AAAAAHmzXHA=")</f>
        <v>#REF!</v>
      </c>
      <c r="DJ30" t="e">
        <f>AND('4'!#REF!,"AAAAAHmzXHE=")</f>
        <v>#REF!</v>
      </c>
      <c r="DK30" t="e">
        <f>AND('4'!#REF!,"AAAAAHmzXHI=")</f>
        <v>#REF!</v>
      </c>
      <c r="DL30" t="e">
        <f>AND('4'!#REF!,"AAAAAHmzXHM=")</f>
        <v>#REF!</v>
      </c>
      <c r="DM30" t="e">
        <f>AND('4'!#REF!,"AAAAAHmzXHQ=")</f>
        <v>#REF!</v>
      </c>
      <c r="DN30" t="e">
        <f>AND('4'!#REF!,"AAAAAHmzXHU=")</f>
        <v>#REF!</v>
      </c>
      <c r="DO30" t="e">
        <f>AND('4'!#REF!,"AAAAAHmzXHY=")</f>
        <v>#REF!</v>
      </c>
      <c r="DP30" t="e">
        <f>AND('4'!#REF!,"AAAAAHmzXHc=")</f>
        <v>#REF!</v>
      </c>
      <c r="DQ30" t="e">
        <f>AND('4'!#REF!,"AAAAAHmzXHg=")</f>
        <v>#REF!</v>
      </c>
      <c r="DR30" t="e">
        <f>AND('4'!#REF!,"AAAAAHmzXHk=")</f>
        <v>#REF!</v>
      </c>
      <c r="DS30" t="e">
        <f>AND('4'!#REF!,"AAAAAHmzXHo=")</f>
        <v>#REF!</v>
      </c>
      <c r="DT30" t="e">
        <f>AND('4'!#REF!,"AAAAAHmzXHs=")</f>
        <v>#REF!</v>
      </c>
      <c r="DU30" t="e">
        <f>AND('4'!#REF!,"AAAAAHmzXHw=")</f>
        <v>#REF!</v>
      </c>
      <c r="DV30" t="e">
        <f>AND('4'!#REF!,"AAAAAHmzXH0=")</f>
        <v>#REF!</v>
      </c>
      <c r="DW30" t="e">
        <f>AND('4'!#REF!,"AAAAAHmzXH4=")</f>
        <v>#REF!</v>
      </c>
      <c r="DX30" t="e">
        <f>AND('4'!#REF!,"AAAAAHmzXH8=")</f>
        <v>#REF!</v>
      </c>
      <c r="DY30" t="e">
        <f>AND('4'!#REF!,"AAAAAHmzXIA=")</f>
        <v>#REF!</v>
      </c>
      <c r="DZ30" t="e">
        <f>AND('4'!#REF!,"AAAAAHmzXIE=")</f>
        <v>#REF!</v>
      </c>
      <c r="EA30" t="e">
        <f>AND('4'!#REF!,"AAAAAHmzXII=")</f>
        <v>#REF!</v>
      </c>
      <c r="EB30" t="e">
        <f>IF('4'!#REF!,"AAAAAHmzXIM=",0)</f>
        <v>#REF!</v>
      </c>
      <c r="EC30" t="e">
        <f>AND('4'!#REF!,"AAAAAHmzXIQ=")</f>
        <v>#REF!</v>
      </c>
      <c r="ED30" t="e">
        <f>AND('4'!#REF!,"AAAAAHmzXIU=")</f>
        <v>#REF!</v>
      </c>
      <c r="EE30" t="e">
        <f>AND('4'!#REF!,"AAAAAHmzXIY=")</f>
        <v>#REF!</v>
      </c>
      <c r="EF30" t="e">
        <f>AND('4'!#REF!,"AAAAAHmzXIc=")</f>
        <v>#REF!</v>
      </c>
      <c r="EG30" t="e">
        <f>AND('4'!#REF!,"AAAAAHmzXIg=")</f>
        <v>#REF!</v>
      </c>
      <c r="EH30" t="e">
        <f>AND('4'!#REF!,"AAAAAHmzXIk=")</f>
        <v>#REF!</v>
      </c>
      <c r="EI30" t="e">
        <f>AND('4'!#REF!,"AAAAAHmzXIo=")</f>
        <v>#REF!</v>
      </c>
      <c r="EJ30" t="e">
        <f>AND('4'!#REF!,"AAAAAHmzXIs=")</f>
        <v>#REF!</v>
      </c>
      <c r="EK30" t="e">
        <f>AND('4'!#REF!,"AAAAAHmzXIw=")</f>
        <v>#REF!</v>
      </c>
      <c r="EL30" t="e">
        <f>AND('4'!#REF!,"AAAAAHmzXI0=")</f>
        <v>#REF!</v>
      </c>
      <c r="EM30" t="e">
        <f>AND('4'!#REF!,"AAAAAHmzXI4=")</f>
        <v>#REF!</v>
      </c>
      <c r="EN30" t="e">
        <f>AND('4'!#REF!,"AAAAAHmzXI8=")</f>
        <v>#REF!</v>
      </c>
      <c r="EO30" t="e">
        <f>AND('4'!#REF!,"AAAAAHmzXJA=")</f>
        <v>#REF!</v>
      </c>
      <c r="EP30" t="e">
        <f>AND('4'!#REF!,"AAAAAHmzXJE=")</f>
        <v>#REF!</v>
      </c>
      <c r="EQ30" t="e">
        <f>AND('4'!#REF!,"AAAAAHmzXJI=")</f>
        <v>#REF!</v>
      </c>
      <c r="ER30" t="e">
        <f>AND('4'!#REF!,"AAAAAHmzXJM=")</f>
        <v>#REF!</v>
      </c>
      <c r="ES30" t="e">
        <f>AND('4'!#REF!,"AAAAAHmzXJQ=")</f>
        <v>#REF!</v>
      </c>
      <c r="ET30" t="e">
        <f>AND('4'!#REF!,"AAAAAHmzXJU=")</f>
        <v>#REF!</v>
      </c>
      <c r="EU30" t="e">
        <f>AND('4'!#REF!,"AAAAAHmzXJY=")</f>
        <v>#REF!</v>
      </c>
      <c r="EV30" t="e">
        <f>AND('4'!#REF!,"AAAAAHmzXJc=")</f>
        <v>#REF!</v>
      </c>
      <c r="EW30" t="e">
        <f>IF('4'!#REF!,"AAAAAHmzXJg=",0)</f>
        <v>#REF!</v>
      </c>
      <c r="EX30" t="e">
        <f>AND('4'!#REF!,"AAAAAHmzXJk=")</f>
        <v>#REF!</v>
      </c>
      <c r="EY30" t="e">
        <f>AND('4'!#REF!,"AAAAAHmzXJo=")</f>
        <v>#REF!</v>
      </c>
      <c r="EZ30" t="e">
        <f>AND('4'!#REF!,"AAAAAHmzXJs=")</f>
        <v>#REF!</v>
      </c>
      <c r="FA30" t="e">
        <f>AND('4'!#REF!,"AAAAAHmzXJw=")</f>
        <v>#REF!</v>
      </c>
      <c r="FB30" t="e">
        <f>AND('4'!#REF!,"AAAAAHmzXJ0=")</f>
        <v>#REF!</v>
      </c>
      <c r="FC30" t="e">
        <f>AND('4'!#REF!,"AAAAAHmzXJ4=")</f>
        <v>#REF!</v>
      </c>
      <c r="FD30" t="e">
        <f>AND('4'!#REF!,"AAAAAHmzXJ8=")</f>
        <v>#REF!</v>
      </c>
      <c r="FE30" t="e">
        <f>AND('4'!#REF!,"AAAAAHmzXKA=")</f>
        <v>#REF!</v>
      </c>
      <c r="FF30" t="e">
        <f>AND('4'!#REF!,"AAAAAHmzXKE=")</f>
        <v>#REF!</v>
      </c>
      <c r="FG30" t="e">
        <f>AND('4'!#REF!,"AAAAAHmzXKI=")</f>
        <v>#REF!</v>
      </c>
      <c r="FH30" t="e">
        <f>AND('4'!#REF!,"AAAAAHmzXKM=")</f>
        <v>#REF!</v>
      </c>
      <c r="FI30" t="e">
        <f>AND('4'!#REF!,"AAAAAHmzXKQ=")</f>
        <v>#REF!</v>
      </c>
      <c r="FJ30" t="e">
        <f>AND('4'!#REF!,"AAAAAHmzXKU=")</f>
        <v>#REF!</v>
      </c>
      <c r="FK30" t="e">
        <f>AND('4'!#REF!,"AAAAAHmzXKY=")</f>
        <v>#REF!</v>
      </c>
      <c r="FL30" t="e">
        <f>AND('4'!#REF!,"AAAAAHmzXKc=")</f>
        <v>#REF!</v>
      </c>
      <c r="FM30" t="e">
        <f>AND('4'!#REF!,"AAAAAHmzXKg=")</f>
        <v>#REF!</v>
      </c>
      <c r="FN30" t="e">
        <f>AND('4'!#REF!,"AAAAAHmzXKk=")</f>
        <v>#REF!</v>
      </c>
      <c r="FO30" t="e">
        <f>AND('4'!#REF!,"AAAAAHmzXKo=")</f>
        <v>#REF!</v>
      </c>
      <c r="FP30" t="e">
        <f>AND('4'!#REF!,"AAAAAHmzXKs=")</f>
        <v>#REF!</v>
      </c>
      <c r="FQ30" t="e">
        <f>AND('4'!#REF!,"AAAAAHmzXKw=")</f>
        <v>#REF!</v>
      </c>
      <c r="FR30" t="e">
        <f>IF('4'!#REF!,"AAAAAHmzXK0=",0)</f>
        <v>#REF!</v>
      </c>
      <c r="FS30" t="e">
        <f>AND('4'!#REF!,"AAAAAHmzXK4=")</f>
        <v>#REF!</v>
      </c>
      <c r="FT30" t="e">
        <f>AND('4'!#REF!,"AAAAAHmzXK8=")</f>
        <v>#REF!</v>
      </c>
      <c r="FU30" t="e">
        <f>AND('4'!#REF!,"AAAAAHmzXLA=")</f>
        <v>#REF!</v>
      </c>
      <c r="FV30" t="e">
        <f>AND('4'!#REF!,"AAAAAHmzXLE=")</f>
        <v>#REF!</v>
      </c>
      <c r="FW30" t="e">
        <f>AND('4'!#REF!,"AAAAAHmzXLI=")</f>
        <v>#REF!</v>
      </c>
      <c r="FX30" t="e">
        <f>AND('4'!#REF!,"AAAAAHmzXLM=")</f>
        <v>#REF!</v>
      </c>
      <c r="FY30" t="e">
        <f>AND('4'!#REF!,"AAAAAHmzXLQ=")</f>
        <v>#REF!</v>
      </c>
      <c r="FZ30" t="e">
        <f>AND('4'!#REF!,"AAAAAHmzXLU=")</f>
        <v>#REF!</v>
      </c>
      <c r="GA30" t="e">
        <f>AND('4'!#REF!,"AAAAAHmzXLY=")</f>
        <v>#REF!</v>
      </c>
      <c r="GB30" t="e">
        <f>AND('4'!#REF!,"AAAAAHmzXLc=")</f>
        <v>#REF!</v>
      </c>
      <c r="GC30" t="e">
        <f>AND('4'!#REF!,"AAAAAHmzXLg=")</f>
        <v>#REF!</v>
      </c>
      <c r="GD30" t="e">
        <f>AND('4'!#REF!,"AAAAAHmzXLk=")</f>
        <v>#REF!</v>
      </c>
      <c r="GE30" t="e">
        <f>AND('4'!#REF!,"AAAAAHmzXLo=")</f>
        <v>#REF!</v>
      </c>
      <c r="GF30" t="e">
        <f>AND('4'!#REF!,"AAAAAHmzXLs=")</f>
        <v>#REF!</v>
      </c>
      <c r="GG30" t="e">
        <f>AND('4'!#REF!,"AAAAAHmzXLw=")</f>
        <v>#REF!</v>
      </c>
      <c r="GH30" t="e">
        <f>AND('4'!#REF!,"AAAAAHmzXL0=")</f>
        <v>#REF!</v>
      </c>
      <c r="GI30" t="e">
        <f>AND('4'!#REF!,"AAAAAHmzXL4=")</f>
        <v>#REF!</v>
      </c>
      <c r="GJ30" t="e">
        <f>AND('4'!#REF!,"AAAAAHmzXL8=")</f>
        <v>#REF!</v>
      </c>
      <c r="GK30" t="e">
        <f>AND('4'!#REF!,"AAAAAHmzXMA=")</f>
        <v>#REF!</v>
      </c>
      <c r="GL30" t="e">
        <f>AND('4'!#REF!,"AAAAAHmzXME=")</f>
        <v>#REF!</v>
      </c>
      <c r="GM30" t="e">
        <f>IF('4'!#REF!,"AAAAAHmzXMI=",0)</f>
        <v>#REF!</v>
      </c>
      <c r="GN30" t="e">
        <f>AND('4'!#REF!,"AAAAAHmzXMM=")</f>
        <v>#REF!</v>
      </c>
      <c r="GO30" t="e">
        <f>AND('4'!#REF!,"AAAAAHmzXMQ=")</f>
        <v>#REF!</v>
      </c>
      <c r="GP30" t="e">
        <f>AND('4'!#REF!,"AAAAAHmzXMU=")</f>
        <v>#REF!</v>
      </c>
      <c r="GQ30" t="e">
        <f>AND('4'!#REF!,"AAAAAHmzXMY=")</f>
        <v>#REF!</v>
      </c>
      <c r="GR30" t="e">
        <f>AND('4'!#REF!,"AAAAAHmzXMc=")</f>
        <v>#REF!</v>
      </c>
      <c r="GS30" t="e">
        <f>AND('4'!#REF!,"AAAAAHmzXMg=")</f>
        <v>#REF!</v>
      </c>
      <c r="GT30" t="e">
        <f>AND('4'!#REF!,"AAAAAHmzXMk=")</f>
        <v>#REF!</v>
      </c>
      <c r="GU30" t="e">
        <f>AND('4'!#REF!,"AAAAAHmzXMo=")</f>
        <v>#REF!</v>
      </c>
      <c r="GV30" t="e">
        <f>AND('4'!#REF!,"AAAAAHmzXMs=")</f>
        <v>#REF!</v>
      </c>
      <c r="GW30" t="e">
        <f>AND('4'!#REF!,"AAAAAHmzXMw=")</f>
        <v>#REF!</v>
      </c>
      <c r="GX30" t="e">
        <f>AND('4'!#REF!,"AAAAAHmzXM0=")</f>
        <v>#REF!</v>
      </c>
      <c r="GY30" t="e">
        <f>AND('4'!#REF!,"AAAAAHmzXM4=")</f>
        <v>#REF!</v>
      </c>
      <c r="GZ30" t="e">
        <f>AND('4'!#REF!,"AAAAAHmzXM8=")</f>
        <v>#REF!</v>
      </c>
      <c r="HA30" t="e">
        <f>AND('4'!#REF!,"AAAAAHmzXNA=")</f>
        <v>#REF!</v>
      </c>
      <c r="HB30" t="e">
        <f>AND('4'!#REF!,"AAAAAHmzXNE=")</f>
        <v>#REF!</v>
      </c>
      <c r="HC30" t="e">
        <f>AND('4'!#REF!,"AAAAAHmzXNI=")</f>
        <v>#REF!</v>
      </c>
      <c r="HD30" t="e">
        <f>AND('4'!#REF!,"AAAAAHmzXNM=")</f>
        <v>#REF!</v>
      </c>
      <c r="HE30" t="e">
        <f>AND('4'!#REF!,"AAAAAHmzXNQ=")</f>
        <v>#REF!</v>
      </c>
      <c r="HF30" t="e">
        <f>AND('4'!#REF!,"AAAAAHmzXNU=")</f>
        <v>#REF!</v>
      </c>
      <c r="HG30" t="e">
        <f>AND('4'!#REF!,"AAAAAHmzXNY=")</f>
        <v>#REF!</v>
      </c>
      <c r="HH30" t="e">
        <f>IF('4'!#REF!,"AAAAAHmzXNc=",0)</f>
        <v>#REF!</v>
      </c>
      <c r="HI30" t="e">
        <f>AND('4'!#REF!,"AAAAAHmzXNg=")</f>
        <v>#REF!</v>
      </c>
      <c r="HJ30" t="e">
        <f>AND('4'!#REF!,"AAAAAHmzXNk=")</f>
        <v>#REF!</v>
      </c>
      <c r="HK30" t="e">
        <f>AND('4'!#REF!,"AAAAAHmzXNo=")</f>
        <v>#REF!</v>
      </c>
      <c r="HL30" t="e">
        <f>AND('4'!#REF!,"AAAAAHmzXNs=")</f>
        <v>#REF!</v>
      </c>
      <c r="HM30" t="e">
        <f>AND('4'!#REF!,"AAAAAHmzXNw=")</f>
        <v>#REF!</v>
      </c>
      <c r="HN30" t="e">
        <f>AND('4'!#REF!,"AAAAAHmzXN0=")</f>
        <v>#REF!</v>
      </c>
      <c r="HO30" t="e">
        <f>AND('4'!#REF!,"AAAAAHmzXN4=")</f>
        <v>#REF!</v>
      </c>
      <c r="HP30" t="e">
        <f>AND('4'!#REF!,"AAAAAHmzXN8=")</f>
        <v>#REF!</v>
      </c>
      <c r="HQ30" t="e">
        <f>AND('4'!#REF!,"AAAAAHmzXOA=")</f>
        <v>#REF!</v>
      </c>
      <c r="HR30" t="e">
        <f>AND('4'!#REF!,"AAAAAHmzXOE=")</f>
        <v>#REF!</v>
      </c>
      <c r="HS30" t="e">
        <f>AND('4'!#REF!,"AAAAAHmzXOI=")</f>
        <v>#REF!</v>
      </c>
      <c r="HT30" t="e">
        <f>AND('4'!#REF!,"AAAAAHmzXOM=")</f>
        <v>#REF!</v>
      </c>
      <c r="HU30" t="e">
        <f>AND('4'!#REF!,"AAAAAHmzXOQ=")</f>
        <v>#REF!</v>
      </c>
      <c r="HV30" t="e">
        <f>AND('4'!#REF!,"AAAAAHmzXOU=")</f>
        <v>#REF!</v>
      </c>
      <c r="HW30" t="e">
        <f>AND('4'!#REF!,"AAAAAHmzXOY=")</f>
        <v>#REF!</v>
      </c>
      <c r="HX30" t="e">
        <f>AND('4'!#REF!,"AAAAAHmzXOc=")</f>
        <v>#REF!</v>
      </c>
      <c r="HY30" t="e">
        <f>AND('4'!#REF!,"AAAAAHmzXOg=")</f>
        <v>#REF!</v>
      </c>
      <c r="HZ30" t="e">
        <f>AND('4'!#REF!,"AAAAAHmzXOk=")</f>
        <v>#REF!</v>
      </c>
      <c r="IA30" t="e">
        <f>AND('4'!#REF!,"AAAAAHmzXOo=")</f>
        <v>#REF!</v>
      </c>
      <c r="IB30" t="e">
        <f>AND('4'!#REF!,"AAAAAHmzXOs=")</f>
        <v>#REF!</v>
      </c>
      <c r="IC30" t="e">
        <f>IF('4'!#REF!,"AAAAAHmzXOw=",0)</f>
        <v>#REF!</v>
      </c>
      <c r="ID30" t="e">
        <f>AND('4'!#REF!,"AAAAAHmzXO0=")</f>
        <v>#REF!</v>
      </c>
      <c r="IE30" t="e">
        <f>AND('4'!#REF!,"AAAAAHmzXO4=")</f>
        <v>#REF!</v>
      </c>
      <c r="IF30" t="e">
        <f>AND('4'!#REF!,"AAAAAHmzXO8=")</f>
        <v>#REF!</v>
      </c>
      <c r="IG30" t="e">
        <f>AND('4'!#REF!,"AAAAAHmzXPA=")</f>
        <v>#REF!</v>
      </c>
      <c r="IH30" t="e">
        <f>AND('4'!#REF!,"AAAAAHmzXPE=")</f>
        <v>#REF!</v>
      </c>
      <c r="II30" t="e">
        <f>AND('4'!#REF!,"AAAAAHmzXPI=")</f>
        <v>#REF!</v>
      </c>
      <c r="IJ30" t="e">
        <f>AND('4'!#REF!,"AAAAAHmzXPM=")</f>
        <v>#REF!</v>
      </c>
      <c r="IK30" t="e">
        <f>AND('4'!#REF!,"AAAAAHmzXPQ=")</f>
        <v>#REF!</v>
      </c>
      <c r="IL30" t="e">
        <f>AND('4'!#REF!,"AAAAAHmzXPU=")</f>
        <v>#REF!</v>
      </c>
      <c r="IM30" t="e">
        <f>AND('4'!#REF!,"AAAAAHmzXPY=")</f>
        <v>#REF!</v>
      </c>
      <c r="IN30" t="e">
        <f>AND('4'!#REF!,"AAAAAHmzXPc=")</f>
        <v>#REF!</v>
      </c>
      <c r="IO30" t="e">
        <f>AND('4'!#REF!,"AAAAAHmzXPg=")</f>
        <v>#REF!</v>
      </c>
      <c r="IP30" t="e">
        <f>AND('4'!#REF!,"AAAAAHmzXPk=")</f>
        <v>#REF!</v>
      </c>
      <c r="IQ30" t="e">
        <f>AND('4'!#REF!,"AAAAAHmzXPo=")</f>
        <v>#REF!</v>
      </c>
      <c r="IR30" t="e">
        <f>AND('4'!#REF!,"AAAAAHmzXPs=")</f>
        <v>#REF!</v>
      </c>
      <c r="IS30" t="e">
        <f>AND('4'!#REF!,"AAAAAHmzXPw=")</f>
        <v>#REF!</v>
      </c>
      <c r="IT30" t="e">
        <f>AND('4'!#REF!,"AAAAAHmzXP0=")</f>
        <v>#REF!</v>
      </c>
      <c r="IU30" t="e">
        <f>AND('4'!#REF!,"AAAAAHmzXP4=")</f>
        <v>#REF!</v>
      </c>
      <c r="IV30" t="e">
        <f>AND('4'!#REF!,"AAAAAHmzXP8=")</f>
        <v>#REF!</v>
      </c>
    </row>
    <row r="31" spans="1:256" x14ac:dyDescent="0.25">
      <c r="A31" t="e">
        <f>AND('4'!#REF!,"AAAAAHodTwA=")</f>
        <v>#REF!</v>
      </c>
      <c r="B31" t="e">
        <f>IF('4'!#REF!,"AAAAAHodTwE=",0)</f>
        <v>#REF!</v>
      </c>
      <c r="C31" t="e">
        <f>AND('4'!#REF!,"AAAAAHodTwI=")</f>
        <v>#REF!</v>
      </c>
      <c r="D31" t="e">
        <f>AND('4'!#REF!,"AAAAAHodTwM=")</f>
        <v>#REF!</v>
      </c>
      <c r="E31" t="e">
        <f>AND('4'!#REF!,"AAAAAHodTwQ=")</f>
        <v>#REF!</v>
      </c>
      <c r="F31" t="e">
        <f>AND('4'!#REF!,"AAAAAHodTwU=")</f>
        <v>#REF!</v>
      </c>
      <c r="G31" t="e">
        <f>AND('4'!#REF!,"AAAAAHodTwY=")</f>
        <v>#REF!</v>
      </c>
      <c r="H31" t="e">
        <f>AND('4'!#REF!,"AAAAAHodTwc=")</f>
        <v>#REF!</v>
      </c>
      <c r="I31" t="e">
        <f>AND('4'!#REF!,"AAAAAHodTwg=")</f>
        <v>#REF!</v>
      </c>
      <c r="J31" t="e">
        <f>AND('4'!#REF!,"AAAAAHodTwk=")</f>
        <v>#REF!</v>
      </c>
      <c r="K31" t="e">
        <f>AND('4'!#REF!,"AAAAAHodTwo=")</f>
        <v>#REF!</v>
      </c>
      <c r="L31" t="e">
        <f>AND('4'!#REF!,"AAAAAHodTws=")</f>
        <v>#REF!</v>
      </c>
      <c r="M31" t="e">
        <f>AND('4'!#REF!,"AAAAAHodTww=")</f>
        <v>#REF!</v>
      </c>
      <c r="N31" t="e">
        <f>AND('4'!#REF!,"AAAAAHodTw0=")</f>
        <v>#REF!</v>
      </c>
      <c r="O31" t="e">
        <f>AND('4'!#REF!,"AAAAAHodTw4=")</f>
        <v>#REF!</v>
      </c>
      <c r="P31" t="e">
        <f>AND('4'!#REF!,"AAAAAHodTw8=")</f>
        <v>#REF!</v>
      </c>
      <c r="Q31" t="e">
        <f>AND('4'!#REF!,"AAAAAHodTxA=")</f>
        <v>#REF!</v>
      </c>
      <c r="R31" t="e">
        <f>AND('4'!#REF!,"AAAAAHodTxE=")</f>
        <v>#REF!</v>
      </c>
      <c r="S31" t="e">
        <f>AND('4'!#REF!,"AAAAAHodTxI=")</f>
        <v>#REF!</v>
      </c>
      <c r="T31" t="e">
        <f>AND('4'!#REF!,"AAAAAHodTxM=")</f>
        <v>#REF!</v>
      </c>
      <c r="U31" t="e">
        <f>AND('4'!#REF!,"AAAAAHodTxQ=")</f>
        <v>#REF!</v>
      </c>
      <c r="V31" t="e">
        <f>AND('4'!#REF!,"AAAAAHodTxU=")</f>
        <v>#REF!</v>
      </c>
      <c r="W31" t="e">
        <f>IF('4'!#REF!,"AAAAAHodTxY=",0)</f>
        <v>#REF!</v>
      </c>
      <c r="X31" t="e">
        <f>AND('4'!#REF!,"AAAAAHodTxc=")</f>
        <v>#REF!</v>
      </c>
      <c r="Y31" t="e">
        <f>AND('4'!#REF!,"AAAAAHodTxg=")</f>
        <v>#REF!</v>
      </c>
      <c r="Z31" t="e">
        <f>AND('4'!#REF!,"AAAAAHodTxk=")</f>
        <v>#REF!</v>
      </c>
      <c r="AA31" t="e">
        <f>AND('4'!#REF!,"AAAAAHodTxo=")</f>
        <v>#REF!</v>
      </c>
      <c r="AB31" t="e">
        <f>AND('4'!#REF!,"AAAAAHodTxs=")</f>
        <v>#REF!</v>
      </c>
      <c r="AC31" t="e">
        <f>AND('4'!#REF!,"AAAAAHodTxw=")</f>
        <v>#REF!</v>
      </c>
      <c r="AD31" t="e">
        <f>AND('4'!#REF!,"AAAAAHodTx0=")</f>
        <v>#REF!</v>
      </c>
      <c r="AE31" t="e">
        <f>AND('4'!#REF!,"AAAAAHodTx4=")</f>
        <v>#REF!</v>
      </c>
      <c r="AF31" t="e">
        <f>AND('4'!#REF!,"AAAAAHodTx8=")</f>
        <v>#REF!</v>
      </c>
      <c r="AG31" t="e">
        <f>AND('4'!#REF!,"AAAAAHodTyA=")</f>
        <v>#REF!</v>
      </c>
      <c r="AH31" t="e">
        <f>AND('4'!#REF!,"AAAAAHodTyE=")</f>
        <v>#REF!</v>
      </c>
      <c r="AI31" t="e">
        <f>AND('4'!#REF!,"AAAAAHodTyI=")</f>
        <v>#REF!</v>
      </c>
      <c r="AJ31" t="e">
        <f>AND('4'!#REF!,"AAAAAHodTyM=")</f>
        <v>#REF!</v>
      </c>
      <c r="AK31" t="e">
        <f>AND('4'!#REF!,"AAAAAHodTyQ=")</f>
        <v>#REF!</v>
      </c>
      <c r="AL31" t="e">
        <f>AND('4'!#REF!,"AAAAAHodTyU=")</f>
        <v>#REF!</v>
      </c>
      <c r="AM31" t="e">
        <f>AND('4'!#REF!,"AAAAAHodTyY=")</f>
        <v>#REF!</v>
      </c>
      <c r="AN31" t="e">
        <f>AND('4'!#REF!,"AAAAAHodTyc=")</f>
        <v>#REF!</v>
      </c>
      <c r="AO31" t="e">
        <f>AND('4'!#REF!,"AAAAAHodTyg=")</f>
        <v>#REF!</v>
      </c>
      <c r="AP31" t="e">
        <f>AND('4'!#REF!,"AAAAAHodTyk=")</f>
        <v>#REF!</v>
      </c>
      <c r="AQ31" t="e">
        <f>AND('4'!#REF!,"AAAAAHodTyo=")</f>
        <v>#REF!</v>
      </c>
      <c r="AR31" t="e">
        <f>IF('4'!#REF!,"AAAAAHodTys=",0)</f>
        <v>#REF!</v>
      </c>
      <c r="AS31" t="e">
        <f>AND('4'!#REF!,"AAAAAHodTyw=")</f>
        <v>#REF!</v>
      </c>
      <c r="AT31" t="e">
        <f>AND('4'!#REF!,"AAAAAHodTy0=")</f>
        <v>#REF!</v>
      </c>
      <c r="AU31" t="e">
        <f>AND('4'!#REF!,"AAAAAHodTy4=")</f>
        <v>#REF!</v>
      </c>
      <c r="AV31" t="e">
        <f>AND('4'!#REF!,"AAAAAHodTy8=")</f>
        <v>#REF!</v>
      </c>
      <c r="AW31" t="e">
        <f>AND('4'!#REF!,"AAAAAHodTzA=")</f>
        <v>#REF!</v>
      </c>
      <c r="AX31" t="e">
        <f>AND('4'!#REF!,"AAAAAHodTzE=")</f>
        <v>#REF!</v>
      </c>
      <c r="AY31" t="e">
        <f>AND('4'!#REF!,"AAAAAHodTzI=")</f>
        <v>#REF!</v>
      </c>
      <c r="AZ31" t="e">
        <f>AND('4'!#REF!,"AAAAAHodTzM=")</f>
        <v>#REF!</v>
      </c>
      <c r="BA31" t="e">
        <f>AND('4'!#REF!,"AAAAAHodTzQ=")</f>
        <v>#REF!</v>
      </c>
      <c r="BB31" t="e">
        <f>AND('4'!#REF!,"AAAAAHodTzU=")</f>
        <v>#REF!</v>
      </c>
      <c r="BC31" t="e">
        <f>AND('4'!#REF!,"AAAAAHodTzY=")</f>
        <v>#REF!</v>
      </c>
      <c r="BD31" t="e">
        <f>AND('4'!#REF!,"AAAAAHodTzc=")</f>
        <v>#REF!</v>
      </c>
      <c r="BE31" t="e">
        <f>AND('4'!#REF!,"AAAAAHodTzg=")</f>
        <v>#REF!</v>
      </c>
      <c r="BF31" t="e">
        <f>AND('4'!#REF!,"AAAAAHodTzk=")</f>
        <v>#REF!</v>
      </c>
      <c r="BG31" t="e">
        <f>AND('4'!#REF!,"AAAAAHodTzo=")</f>
        <v>#REF!</v>
      </c>
      <c r="BH31" t="e">
        <f>AND('4'!#REF!,"AAAAAHodTzs=")</f>
        <v>#REF!</v>
      </c>
      <c r="BI31" t="e">
        <f>AND('4'!#REF!,"AAAAAHodTzw=")</f>
        <v>#REF!</v>
      </c>
      <c r="BJ31" t="e">
        <f>AND('4'!#REF!,"AAAAAHodTz0=")</f>
        <v>#REF!</v>
      </c>
      <c r="BK31" t="e">
        <f>AND('4'!#REF!,"AAAAAHodTz4=")</f>
        <v>#REF!</v>
      </c>
      <c r="BL31" t="e">
        <f>AND('4'!#REF!,"AAAAAHodTz8=")</f>
        <v>#REF!</v>
      </c>
      <c r="BM31" t="e">
        <f>IF('4'!#REF!,"AAAAAHodT0A=",0)</f>
        <v>#REF!</v>
      </c>
      <c r="BN31" t="e">
        <f>AND('4'!#REF!,"AAAAAHodT0E=")</f>
        <v>#REF!</v>
      </c>
      <c r="BO31" t="e">
        <f>AND('4'!#REF!,"AAAAAHodT0I=")</f>
        <v>#REF!</v>
      </c>
      <c r="BP31" t="e">
        <f>AND('4'!#REF!,"AAAAAHodT0M=")</f>
        <v>#REF!</v>
      </c>
      <c r="BQ31" t="e">
        <f>AND('4'!#REF!,"AAAAAHodT0Q=")</f>
        <v>#REF!</v>
      </c>
      <c r="BR31" t="e">
        <f>AND('4'!#REF!,"AAAAAHodT0U=")</f>
        <v>#REF!</v>
      </c>
      <c r="BS31" t="e">
        <f>AND('4'!#REF!,"AAAAAHodT0Y=")</f>
        <v>#REF!</v>
      </c>
      <c r="BT31" t="e">
        <f>AND('4'!#REF!,"AAAAAHodT0c=")</f>
        <v>#REF!</v>
      </c>
      <c r="BU31" t="e">
        <f>AND('4'!#REF!,"AAAAAHodT0g=")</f>
        <v>#REF!</v>
      </c>
      <c r="BV31" t="e">
        <f>AND('4'!#REF!,"AAAAAHodT0k=")</f>
        <v>#REF!</v>
      </c>
      <c r="BW31" t="e">
        <f>AND('4'!#REF!,"AAAAAHodT0o=")</f>
        <v>#REF!</v>
      </c>
      <c r="BX31" t="e">
        <f>AND('4'!#REF!,"AAAAAHodT0s=")</f>
        <v>#REF!</v>
      </c>
      <c r="BY31" t="e">
        <f>AND('4'!#REF!,"AAAAAHodT0w=")</f>
        <v>#REF!</v>
      </c>
      <c r="BZ31" t="e">
        <f>AND('4'!#REF!,"AAAAAHodT00=")</f>
        <v>#REF!</v>
      </c>
      <c r="CA31" t="e">
        <f>AND('4'!#REF!,"AAAAAHodT04=")</f>
        <v>#REF!</v>
      </c>
      <c r="CB31" t="e">
        <f>AND('4'!#REF!,"AAAAAHodT08=")</f>
        <v>#REF!</v>
      </c>
      <c r="CC31" t="e">
        <f>AND('4'!#REF!,"AAAAAHodT1A=")</f>
        <v>#REF!</v>
      </c>
      <c r="CD31" t="e">
        <f>AND('4'!#REF!,"AAAAAHodT1E=")</f>
        <v>#REF!</v>
      </c>
      <c r="CE31" t="e">
        <f>AND('4'!#REF!,"AAAAAHodT1I=")</f>
        <v>#REF!</v>
      </c>
      <c r="CF31" t="e">
        <f>AND('4'!#REF!,"AAAAAHodT1M=")</f>
        <v>#REF!</v>
      </c>
      <c r="CG31" t="e">
        <f>AND('4'!#REF!,"AAAAAHodT1Q=")</f>
        <v>#REF!</v>
      </c>
      <c r="CH31" t="e">
        <f>IF('4'!#REF!,"AAAAAHodT1U=",0)</f>
        <v>#REF!</v>
      </c>
      <c r="CI31" t="e">
        <f>AND('4'!#REF!,"AAAAAHodT1Y=")</f>
        <v>#REF!</v>
      </c>
      <c r="CJ31" t="e">
        <f>AND('4'!#REF!,"AAAAAHodT1c=")</f>
        <v>#REF!</v>
      </c>
      <c r="CK31" t="e">
        <f>AND('4'!#REF!,"AAAAAHodT1g=")</f>
        <v>#REF!</v>
      </c>
      <c r="CL31" t="e">
        <f>AND('4'!#REF!,"AAAAAHodT1k=")</f>
        <v>#REF!</v>
      </c>
      <c r="CM31" t="e">
        <f>AND('4'!#REF!,"AAAAAHodT1o=")</f>
        <v>#REF!</v>
      </c>
      <c r="CN31" t="e">
        <f>AND('4'!#REF!,"AAAAAHodT1s=")</f>
        <v>#REF!</v>
      </c>
      <c r="CO31" t="e">
        <f>AND('4'!#REF!,"AAAAAHodT1w=")</f>
        <v>#REF!</v>
      </c>
      <c r="CP31" t="e">
        <f>AND('4'!#REF!,"AAAAAHodT10=")</f>
        <v>#REF!</v>
      </c>
      <c r="CQ31" t="e">
        <f>AND('4'!#REF!,"AAAAAHodT14=")</f>
        <v>#REF!</v>
      </c>
      <c r="CR31" t="e">
        <f>AND('4'!#REF!,"AAAAAHodT18=")</f>
        <v>#REF!</v>
      </c>
      <c r="CS31" t="e">
        <f>AND('4'!#REF!,"AAAAAHodT2A=")</f>
        <v>#REF!</v>
      </c>
      <c r="CT31" t="e">
        <f>AND('4'!#REF!,"AAAAAHodT2E=")</f>
        <v>#REF!</v>
      </c>
      <c r="CU31" t="e">
        <f>AND('4'!#REF!,"AAAAAHodT2I=")</f>
        <v>#REF!</v>
      </c>
      <c r="CV31" t="e">
        <f>AND('4'!#REF!,"AAAAAHodT2M=")</f>
        <v>#REF!</v>
      </c>
      <c r="CW31" t="e">
        <f>AND('4'!#REF!,"AAAAAHodT2Q=")</f>
        <v>#REF!</v>
      </c>
      <c r="CX31" t="e">
        <f>AND('4'!#REF!,"AAAAAHodT2U=")</f>
        <v>#REF!</v>
      </c>
      <c r="CY31" t="e">
        <f>AND('4'!#REF!,"AAAAAHodT2Y=")</f>
        <v>#REF!</v>
      </c>
      <c r="CZ31" t="e">
        <f>AND('4'!#REF!,"AAAAAHodT2c=")</f>
        <v>#REF!</v>
      </c>
      <c r="DA31" t="e">
        <f>AND('4'!#REF!,"AAAAAHodT2g=")</f>
        <v>#REF!</v>
      </c>
      <c r="DB31" t="e">
        <f>AND('4'!#REF!,"AAAAAHodT2k=")</f>
        <v>#REF!</v>
      </c>
      <c r="DC31" t="e">
        <f>IF('4'!#REF!,"AAAAAHodT2o=",0)</f>
        <v>#REF!</v>
      </c>
      <c r="DD31" t="e">
        <f>AND('4'!#REF!,"AAAAAHodT2s=")</f>
        <v>#REF!</v>
      </c>
      <c r="DE31" t="e">
        <f>AND('4'!#REF!,"AAAAAHodT2w=")</f>
        <v>#REF!</v>
      </c>
      <c r="DF31" t="e">
        <f>AND('4'!#REF!,"AAAAAHodT20=")</f>
        <v>#REF!</v>
      </c>
      <c r="DG31" t="e">
        <f>AND('4'!#REF!,"AAAAAHodT24=")</f>
        <v>#REF!</v>
      </c>
      <c r="DH31" t="e">
        <f>AND('4'!#REF!,"AAAAAHodT28=")</f>
        <v>#REF!</v>
      </c>
      <c r="DI31" t="e">
        <f>AND('4'!#REF!,"AAAAAHodT3A=")</f>
        <v>#REF!</v>
      </c>
      <c r="DJ31" t="e">
        <f>AND('4'!#REF!,"AAAAAHodT3E=")</f>
        <v>#REF!</v>
      </c>
      <c r="DK31" t="e">
        <f>AND('4'!#REF!,"AAAAAHodT3I=")</f>
        <v>#REF!</v>
      </c>
      <c r="DL31" t="e">
        <f>AND('4'!#REF!,"AAAAAHodT3M=")</f>
        <v>#REF!</v>
      </c>
      <c r="DM31" t="e">
        <f>AND('4'!#REF!,"AAAAAHodT3Q=")</f>
        <v>#REF!</v>
      </c>
      <c r="DN31" t="e">
        <f>AND('4'!#REF!,"AAAAAHodT3U=")</f>
        <v>#REF!</v>
      </c>
      <c r="DO31" t="e">
        <f>AND('4'!#REF!,"AAAAAHodT3Y=")</f>
        <v>#REF!</v>
      </c>
      <c r="DP31" t="e">
        <f>AND('4'!#REF!,"AAAAAHodT3c=")</f>
        <v>#REF!</v>
      </c>
      <c r="DQ31" t="e">
        <f>AND('4'!#REF!,"AAAAAHodT3g=")</f>
        <v>#REF!</v>
      </c>
      <c r="DR31" t="e">
        <f>AND('4'!#REF!,"AAAAAHodT3k=")</f>
        <v>#REF!</v>
      </c>
      <c r="DS31" t="e">
        <f>AND('4'!#REF!,"AAAAAHodT3o=")</f>
        <v>#REF!</v>
      </c>
      <c r="DT31" t="e">
        <f>AND('4'!#REF!,"AAAAAHodT3s=")</f>
        <v>#REF!</v>
      </c>
      <c r="DU31" t="e">
        <f>AND('4'!#REF!,"AAAAAHodT3w=")</f>
        <v>#REF!</v>
      </c>
      <c r="DV31" t="e">
        <f>AND('4'!#REF!,"AAAAAHodT30=")</f>
        <v>#REF!</v>
      </c>
      <c r="DW31" t="e">
        <f>AND('4'!#REF!,"AAAAAHodT34=")</f>
        <v>#REF!</v>
      </c>
      <c r="DX31" t="e">
        <f>IF('4'!#REF!,"AAAAAHodT38=",0)</f>
        <v>#REF!</v>
      </c>
      <c r="DY31" t="e">
        <f>AND('4'!#REF!,"AAAAAHodT4A=")</f>
        <v>#REF!</v>
      </c>
      <c r="DZ31" t="e">
        <f>AND('4'!#REF!,"AAAAAHodT4E=")</f>
        <v>#REF!</v>
      </c>
      <c r="EA31" t="e">
        <f>AND('4'!#REF!,"AAAAAHodT4I=")</f>
        <v>#REF!</v>
      </c>
      <c r="EB31" t="e">
        <f>AND('4'!#REF!,"AAAAAHodT4M=")</f>
        <v>#REF!</v>
      </c>
      <c r="EC31" t="e">
        <f>AND('4'!#REF!,"AAAAAHodT4Q=")</f>
        <v>#REF!</v>
      </c>
      <c r="ED31" t="e">
        <f>AND('4'!#REF!,"AAAAAHodT4U=")</f>
        <v>#REF!</v>
      </c>
      <c r="EE31" t="e">
        <f>AND('4'!#REF!,"AAAAAHodT4Y=")</f>
        <v>#REF!</v>
      </c>
      <c r="EF31" t="e">
        <f>AND('4'!#REF!,"AAAAAHodT4c=")</f>
        <v>#REF!</v>
      </c>
      <c r="EG31" t="e">
        <f>AND('4'!#REF!,"AAAAAHodT4g=")</f>
        <v>#REF!</v>
      </c>
      <c r="EH31" t="e">
        <f>AND('4'!#REF!,"AAAAAHodT4k=")</f>
        <v>#REF!</v>
      </c>
      <c r="EI31" t="e">
        <f>AND('4'!#REF!,"AAAAAHodT4o=")</f>
        <v>#REF!</v>
      </c>
      <c r="EJ31" t="e">
        <f>AND('4'!#REF!,"AAAAAHodT4s=")</f>
        <v>#REF!</v>
      </c>
      <c r="EK31" t="e">
        <f>AND('4'!#REF!,"AAAAAHodT4w=")</f>
        <v>#REF!</v>
      </c>
      <c r="EL31" t="e">
        <f>AND('4'!#REF!,"AAAAAHodT40=")</f>
        <v>#REF!</v>
      </c>
      <c r="EM31" t="e">
        <f>AND('4'!#REF!,"AAAAAHodT44=")</f>
        <v>#REF!</v>
      </c>
      <c r="EN31" t="e">
        <f>AND('4'!#REF!,"AAAAAHodT48=")</f>
        <v>#REF!</v>
      </c>
      <c r="EO31" t="e">
        <f>AND('4'!#REF!,"AAAAAHodT5A=")</f>
        <v>#REF!</v>
      </c>
      <c r="EP31" t="e">
        <f>AND('4'!#REF!,"AAAAAHodT5E=")</f>
        <v>#REF!</v>
      </c>
      <c r="EQ31" t="e">
        <f>AND('4'!#REF!,"AAAAAHodT5I=")</f>
        <v>#REF!</v>
      </c>
      <c r="ER31" t="e">
        <f>AND('4'!#REF!,"AAAAAHodT5M=")</f>
        <v>#REF!</v>
      </c>
      <c r="ES31" t="e">
        <f>IF('4'!#REF!,"AAAAAHodT5Q=",0)</f>
        <v>#REF!</v>
      </c>
      <c r="ET31" t="e">
        <f>AND('4'!#REF!,"AAAAAHodT5U=")</f>
        <v>#REF!</v>
      </c>
      <c r="EU31" t="e">
        <f>AND('4'!#REF!,"AAAAAHodT5Y=")</f>
        <v>#REF!</v>
      </c>
      <c r="EV31" t="e">
        <f>AND('4'!#REF!,"AAAAAHodT5c=")</f>
        <v>#REF!</v>
      </c>
      <c r="EW31" t="e">
        <f>AND('4'!#REF!,"AAAAAHodT5g=")</f>
        <v>#REF!</v>
      </c>
      <c r="EX31" t="e">
        <f>AND('4'!#REF!,"AAAAAHodT5k=")</f>
        <v>#REF!</v>
      </c>
      <c r="EY31" t="e">
        <f>AND('4'!#REF!,"AAAAAHodT5o=")</f>
        <v>#REF!</v>
      </c>
      <c r="EZ31" t="e">
        <f>AND('4'!#REF!,"AAAAAHodT5s=")</f>
        <v>#REF!</v>
      </c>
      <c r="FA31" t="e">
        <f>AND('4'!#REF!,"AAAAAHodT5w=")</f>
        <v>#REF!</v>
      </c>
      <c r="FB31" t="e">
        <f>AND('4'!#REF!,"AAAAAHodT50=")</f>
        <v>#REF!</v>
      </c>
      <c r="FC31" t="e">
        <f>AND('4'!#REF!,"AAAAAHodT54=")</f>
        <v>#REF!</v>
      </c>
      <c r="FD31" t="e">
        <f>AND('4'!#REF!,"AAAAAHodT58=")</f>
        <v>#REF!</v>
      </c>
      <c r="FE31" t="e">
        <f>AND('4'!#REF!,"AAAAAHodT6A=")</f>
        <v>#REF!</v>
      </c>
      <c r="FF31" t="e">
        <f>AND('4'!#REF!,"AAAAAHodT6E=")</f>
        <v>#REF!</v>
      </c>
      <c r="FG31" t="e">
        <f>AND('4'!#REF!,"AAAAAHodT6I=")</f>
        <v>#REF!</v>
      </c>
      <c r="FH31" t="e">
        <f>AND('4'!#REF!,"AAAAAHodT6M=")</f>
        <v>#REF!</v>
      </c>
      <c r="FI31" t="e">
        <f>AND('4'!#REF!,"AAAAAHodT6Q=")</f>
        <v>#REF!</v>
      </c>
      <c r="FJ31" t="e">
        <f>AND('4'!#REF!,"AAAAAHodT6U=")</f>
        <v>#REF!</v>
      </c>
      <c r="FK31" t="e">
        <f>AND('4'!#REF!,"AAAAAHodT6Y=")</f>
        <v>#REF!</v>
      </c>
      <c r="FL31" t="e">
        <f>AND('4'!#REF!,"AAAAAHodT6c=")</f>
        <v>#REF!</v>
      </c>
      <c r="FM31" t="e">
        <f>AND('4'!#REF!,"AAAAAHodT6g=")</f>
        <v>#REF!</v>
      </c>
      <c r="FN31" t="e">
        <f>IF('4'!#REF!,"AAAAAHodT6k=",0)</f>
        <v>#REF!</v>
      </c>
      <c r="FO31" t="e">
        <f>AND('4'!#REF!,"AAAAAHodT6o=")</f>
        <v>#REF!</v>
      </c>
      <c r="FP31" t="e">
        <f>AND('4'!#REF!,"AAAAAHodT6s=")</f>
        <v>#REF!</v>
      </c>
      <c r="FQ31" t="e">
        <f>AND('4'!#REF!,"AAAAAHodT6w=")</f>
        <v>#REF!</v>
      </c>
      <c r="FR31" t="e">
        <f>AND('4'!#REF!,"AAAAAHodT60=")</f>
        <v>#REF!</v>
      </c>
      <c r="FS31" t="e">
        <f>AND('4'!#REF!,"AAAAAHodT64=")</f>
        <v>#REF!</v>
      </c>
      <c r="FT31" t="e">
        <f>AND('4'!#REF!,"AAAAAHodT68=")</f>
        <v>#REF!</v>
      </c>
      <c r="FU31" t="e">
        <f>AND('4'!#REF!,"AAAAAHodT7A=")</f>
        <v>#REF!</v>
      </c>
      <c r="FV31" t="e">
        <f>AND('4'!#REF!,"AAAAAHodT7E=")</f>
        <v>#REF!</v>
      </c>
      <c r="FW31" t="e">
        <f>AND('4'!#REF!,"AAAAAHodT7I=")</f>
        <v>#REF!</v>
      </c>
      <c r="FX31" t="e">
        <f>AND('4'!#REF!,"AAAAAHodT7M=")</f>
        <v>#REF!</v>
      </c>
      <c r="FY31" t="e">
        <f>AND('4'!#REF!,"AAAAAHodT7Q=")</f>
        <v>#REF!</v>
      </c>
      <c r="FZ31" t="e">
        <f>AND('4'!#REF!,"AAAAAHodT7U=")</f>
        <v>#REF!</v>
      </c>
      <c r="GA31" t="e">
        <f>AND('4'!#REF!,"AAAAAHodT7Y=")</f>
        <v>#REF!</v>
      </c>
      <c r="GB31" t="e">
        <f>AND('4'!#REF!,"AAAAAHodT7c=")</f>
        <v>#REF!</v>
      </c>
      <c r="GC31" t="e">
        <f>AND('4'!#REF!,"AAAAAHodT7g=")</f>
        <v>#REF!</v>
      </c>
      <c r="GD31" t="e">
        <f>AND('4'!#REF!,"AAAAAHodT7k=")</f>
        <v>#REF!</v>
      </c>
      <c r="GE31" t="e">
        <f>AND('4'!#REF!,"AAAAAHodT7o=")</f>
        <v>#REF!</v>
      </c>
      <c r="GF31" t="e">
        <f>AND('4'!#REF!,"AAAAAHodT7s=")</f>
        <v>#REF!</v>
      </c>
      <c r="GG31" t="e">
        <f>AND('4'!#REF!,"AAAAAHodT7w=")</f>
        <v>#REF!</v>
      </c>
      <c r="GH31" t="e">
        <f>AND('4'!#REF!,"AAAAAHodT70=")</f>
        <v>#REF!</v>
      </c>
      <c r="GI31" t="e">
        <f>IF('4'!#REF!,"AAAAAHodT74=",0)</f>
        <v>#REF!</v>
      </c>
      <c r="GJ31" t="e">
        <f>AND('4'!#REF!,"AAAAAHodT78=")</f>
        <v>#REF!</v>
      </c>
      <c r="GK31" t="e">
        <f>AND('4'!#REF!,"AAAAAHodT8A=")</f>
        <v>#REF!</v>
      </c>
      <c r="GL31" t="e">
        <f>AND('4'!#REF!,"AAAAAHodT8E=")</f>
        <v>#REF!</v>
      </c>
      <c r="GM31" t="e">
        <f>AND('4'!#REF!,"AAAAAHodT8I=")</f>
        <v>#REF!</v>
      </c>
      <c r="GN31" t="e">
        <f>AND('4'!#REF!,"AAAAAHodT8M=")</f>
        <v>#REF!</v>
      </c>
      <c r="GO31" t="e">
        <f>AND('4'!#REF!,"AAAAAHodT8Q=")</f>
        <v>#REF!</v>
      </c>
      <c r="GP31" t="e">
        <f>AND('4'!#REF!,"AAAAAHodT8U=")</f>
        <v>#REF!</v>
      </c>
      <c r="GQ31" t="e">
        <f>AND('4'!#REF!,"AAAAAHodT8Y=")</f>
        <v>#REF!</v>
      </c>
      <c r="GR31" t="e">
        <f>AND('4'!#REF!,"AAAAAHodT8c=")</f>
        <v>#REF!</v>
      </c>
      <c r="GS31" t="e">
        <f>AND('4'!#REF!,"AAAAAHodT8g=")</f>
        <v>#REF!</v>
      </c>
      <c r="GT31" t="e">
        <f>AND('4'!#REF!,"AAAAAHodT8k=")</f>
        <v>#REF!</v>
      </c>
      <c r="GU31" t="e">
        <f>AND('4'!#REF!,"AAAAAHodT8o=")</f>
        <v>#REF!</v>
      </c>
      <c r="GV31" t="e">
        <f>AND('4'!#REF!,"AAAAAHodT8s=")</f>
        <v>#REF!</v>
      </c>
      <c r="GW31" t="e">
        <f>AND('4'!#REF!,"AAAAAHodT8w=")</f>
        <v>#REF!</v>
      </c>
      <c r="GX31" t="e">
        <f>AND('4'!#REF!,"AAAAAHodT80=")</f>
        <v>#REF!</v>
      </c>
      <c r="GY31" t="e">
        <f>AND('4'!#REF!,"AAAAAHodT84=")</f>
        <v>#REF!</v>
      </c>
      <c r="GZ31" t="e">
        <f>AND('4'!#REF!,"AAAAAHodT88=")</f>
        <v>#REF!</v>
      </c>
      <c r="HA31" t="e">
        <f>AND('4'!#REF!,"AAAAAHodT9A=")</f>
        <v>#REF!</v>
      </c>
      <c r="HB31" t="e">
        <f>AND('4'!#REF!,"AAAAAHodT9E=")</f>
        <v>#REF!</v>
      </c>
      <c r="HC31" t="e">
        <f>AND('4'!#REF!,"AAAAAHodT9I=")</f>
        <v>#REF!</v>
      </c>
      <c r="HD31" t="e">
        <f>IF('4'!#REF!,"AAAAAHodT9M=",0)</f>
        <v>#REF!</v>
      </c>
      <c r="HE31" t="e">
        <f>AND('4'!#REF!,"AAAAAHodT9Q=")</f>
        <v>#REF!</v>
      </c>
      <c r="HF31" t="e">
        <f>AND('4'!#REF!,"AAAAAHodT9U=")</f>
        <v>#REF!</v>
      </c>
      <c r="HG31" t="e">
        <f>AND('4'!#REF!,"AAAAAHodT9Y=")</f>
        <v>#REF!</v>
      </c>
      <c r="HH31" t="e">
        <f>AND('4'!#REF!,"AAAAAHodT9c=")</f>
        <v>#REF!</v>
      </c>
      <c r="HI31" t="e">
        <f>AND('4'!#REF!,"AAAAAHodT9g=")</f>
        <v>#REF!</v>
      </c>
      <c r="HJ31" t="e">
        <f>AND('4'!#REF!,"AAAAAHodT9k=")</f>
        <v>#REF!</v>
      </c>
      <c r="HK31" t="e">
        <f>AND('4'!#REF!,"AAAAAHodT9o=")</f>
        <v>#REF!</v>
      </c>
      <c r="HL31" t="e">
        <f>AND('4'!#REF!,"AAAAAHodT9s=")</f>
        <v>#REF!</v>
      </c>
      <c r="HM31" t="e">
        <f>AND('4'!#REF!,"AAAAAHodT9w=")</f>
        <v>#REF!</v>
      </c>
      <c r="HN31" t="e">
        <f>AND('4'!#REF!,"AAAAAHodT90=")</f>
        <v>#REF!</v>
      </c>
      <c r="HO31" t="e">
        <f>AND('4'!#REF!,"AAAAAHodT94=")</f>
        <v>#REF!</v>
      </c>
      <c r="HP31" t="e">
        <f>AND('4'!#REF!,"AAAAAHodT98=")</f>
        <v>#REF!</v>
      </c>
      <c r="HQ31" t="e">
        <f>AND('4'!#REF!,"AAAAAHodT+A=")</f>
        <v>#REF!</v>
      </c>
      <c r="HR31" t="e">
        <f>AND('4'!#REF!,"AAAAAHodT+E=")</f>
        <v>#REF!</v>
      </c>
      <c r="HS31" t="e">
        <f>AND('4'!#REF!,"AAAAAHodT+I=")</f>
        <v>#REF!</v>
      </c>
      <c r="HT31" t="e">
        <f>AND('4'!#REF!,"AAAAAHodT+M=")</f>
        <v>#REF!</v>
      </c>
      <c r="HU31" t="e">
        <f>AND('4'!#REF!,"AAAAAHodT+Q=")</f>
        <v>#REF!</v>
      </c>
      <c r="HV31" t="e">
        <f>AND('4'!#REF!,"AAAAAHodT+U=")</f>
        <v>#REF!</v>
      </c>
      <c r="HW31" t="e">
        <f>AND('4'!#REF!,"AAAAAHodT+Y=")</f>
        <v>#REF!</v>
      </c>
      <c r="HX31" t="e">
        <f>AND('4'!#REF!,"AAAAAHodT+c=")</f>
        <v>#REF!</v>
      </c>
      <c r="HY31" t="e">
        <f>IF('4'!#REF!,"AAAAAHodT+g=",0)</f>
        <v>#REF!</v>
      </c>
      <c r="HZ31" t="e">
        <f>AND('4'!#REF!,"AAAAAHodT+k=")</f>
        <v>#REF!</v>
      </c>
      <c r="IA31" t="e">
        <f>AND('4'!#REF!,"AAAAAHodT+o=")</f>
        <v>#REF!</v>
      </c>
      <c r="IB31" t="e">
        <f>AND('4'!#REF!,"AAAAAHodT+s=")</f>
        <v>#REF!</v>
      </c>
      <c r="IC31" t="e">
        <f>AND('4'!#REF!,"AAAAAHodT+w=")</f>
        <v>#REF!</v>
      </c>
      <c r="ID31" t="e">
        <f>AND('4'!#REF!,"AAAAAHodT+0=")</f>
        <v>#REF!</v>
      </c>
      <c r="IE31" t="e">
        <f>AND('4'!#REF!,"AAAAAHodT+4=")</f>
        <v>#REF!</v>
      </c>
      <c r="IF31" t="e">
        <f>AND('4'!#REF!,"AAAAAHodT+8=")</f>
        <v>#REF!</v>
      </c>
      <c r="IG31" t="e">
        <f>AND('4'!#REF!,"AAAAAHodT/A=")</f>
        <v>#REF!</v>
      </c>
      <c r="IH31" t="e">
        <f>AND('4'!#REF!,"AAAAAHodT/E=")</f>
        <v>#REF!</v>
      </c>
      <c r="II31" t="e">
        <f>AND('4'!#REF!,"AAAAAHodT/I=")</f>
        <v>#REF!</v>
      </c>
      <c r="IJ31" t="e">
        <f>AND('4'!#REF!,"AAAAAHodT/M=")</f>
        <v>#REF!</v>
      </c>
      <c r="IK31" t="e">
        <f>AND('4'!#REF!,"AAAAAHodT/Q=")</f>
        <v>#REF!</v>
      </c>
      <c r="IL31" t="e">
        <f>AND('4'!#REF!,"AAAAAHodT/U=")</f>
        <v>#REF!</v>
      </c>
      <c r="IM31" t="e">
        <f>AND('4'!#REF!,"AAAAAHodT/Y=")</f>
        <v>#REF!</v>
      </c>
      <c r="IN31" t="e">
        <f>AND('4'!#REF!,"AAAAAHodT/c=")</f>
        <v>#REF!</v>
      </c>
      <c r="IO31" t="e">
        <f>AND('4'!#REF!,"AAAAAHodT/g=")</f>
        <v>#REF!</v>
      </c>
      <c r="IP31" t="e">
        <f>AND('4'!#REF!,"AAAAAHodT/k=")</f>
        <v>#REF!</v>
      </c>
      <c r="IQ31" t="e">
        <f>AND('4'!#REF!,"AAAAAHodT/o=")</f>
        <v>#REF!</v>
      </c>
      <c r="IR31" t="e">
        <f>AND('4'!#REF!,"AAAAAHodT/s=")</f>
        <v>#REF!</v>
      </c>
      <c r="IS31" t="e">
        <f>AND('4'!#REF!,"AAAAAHodT/w=")</f>
        <v>#REF!</v>
      </c>
      <c r="IT31" t="e">
        <f>IF('4'!#REF!,"AAAAAHodT/0=",0)</f>
        <v>#REF!</v>
      </c>
      <c r="IU31" t="e">
        <f>AND('4'!#REF!,"AAAAAHodT/4=")</f>
        <v>#REF!</v>
      </c>
      <c r="IV31" t="e">
        <f>AND('4'!#REF!,"AAAAAHodT/8=")</f>
        <v>#REF!</v>
      </c>
    </row>
    <row r="32" spans="1:256" x14ac:dyDescent="0.25">
      <c r="A32" t="e">
        <f>AND('4'!#REF!,"AAAAAH8z/AA=")</f>
        <v>#REF!</v>
      </c>
      <c r="B32" t="e">
        <f>AND('4'!#REF!,"AAAAAH8z/AE=")</f>
        <v>#REF!</v>
      </c>
      <c r="C32" t="e">
        <f>AND('4'!#REF!,"AAAAAH8z/AI=")</f>
        <v>#REF!</v>
      </c>
      <c r="D32" t="e">
        <f>AND('4'!#REF!,"AAAAAH8z/AM=")</f>
        <v>#REF!</v>
      </c>
      <c r="E32" t="e">
        <f>AND('4'!#REF!,"AAAAAH8z/AQ=")</f>
        <v>#REF!</v>
      </c>
      <c r="F32" t="e">
        <f>AND('4'!#REF!,"AAAAAH8z/AU=")</f>
        <v>#REF!</v>
      </c>
      <c r="G32" t="e">
        <f>AND('4'!#REF!,"AAAAAH8z/AY=")</f>
        <v>#REF!</v>
      </c>
      <c r="H32" t="e">
        <f>AND('4'!#REF!,"AAAAAH8z/Ac=")</f>
        <v>#REF!</v>
      </c>
      <c r="I32" t="e">
        <f>AND('4'!#REF!,"AAAAAH8z/Ag=")</f>
        <v>#REF!</v>
      </c>
      <c r="J32" t="e">
        <f>AND('4'!#REF!,"AAAAAH8z/Ak=")</f>
        <v>#REF!</v>
      </c>
      <c r="K32" t="e">
        <f>AND('4'!#REF!,"AAAAAH8z/Ao=")</f>
        <v>#REF!</v>
      </c>
      <c r="L32" t="e">
        <f>AND('4'!#REF!,"AAAAAH8z/As=")</f>
        <v>#REF!</v>
      </c>
      <c r="M32" t="e">
        <f>AND('4'!#REF!,"AAAAAH8z/Aw=")</f>
        <v>#REF!</v>
      </c>
      <c r="N32" t="e">
        <f>AND('4'!#REF!,"AAAAAH8z/A0=")</f>
        <v>#REF!</v>
      </c>
      <c r="O32" t="e">
        <f>AND('4'!#REF!,"AAAAAH8z/A4=")</f>
        <v>#REF!</v>
      </c>
      <c r="P32" t="e">
        <f>AND('4'!#REF!,"AAAAAH8z/A8=")</f>
        <v>#REF!</v>
      </c>
      <c r="Q32" t="e">
        <f>AND('4'!#REF!,"AAAAAH8z/BA=")</f>
        <v>#REF!</v>
      </c>
      <c r="R32" t="e">
        <f>AND('4'!#REF!,"AAAAAH8z/BE=")</f>
        <v>#REF!</v>
      </c>
      <c r="S32" t="e">
        <f>IF('4'!#REF!,"AAAAAH8z/BI=",0)</f>
        <v>#REF!</v>
      </c>
      <c r="T32" t="e">
        <f>AND('4'!#REF!,"AAAAAH8z/BM=")</f>
        <v>#REF!</v>
      </c>
      <c r="U32" t="e">
        <f>AND('4'!#REF!,"AAAAAH8z/BQ=")</f>
        <v>#REF!</v>
      </c>
      <c r="V32" t="e">
        <f>AND('4'!#REF!,"AAAAAH8z/BU=")</f>
        <v>#REF!</v>
      </c>
      <c r="W32" t="e">
        <f>AND('4'!#REF!,"AAAAAH8z/BY=")</f>
        <v>#REF!</v>
      </c>
      <c r="X32" t="e">
        <f>AND('4'!#REF!,"AAAAAH8z/Bc=")</f>
        <v>#REF!</v>
      </c>
      <c r="Y32" t="e">
        <f>AND('4'!#REF!,"AAAAAH8z/Bg=")</f>
        <v>#REF!</v>
      </c>
      <c r="Z32" t="e">
        <f>AND('4'!#REF!,"AAAAAH8z/Bk=")</f>
        <v>#REF!</v>
      </c>
      <c r="AA32" t="e">
        <f>AND('4'!#REF!,"AAAAAH8z/Bo=")</f>
        <v>#REF!</v>
      </c>
      <c r="AB32" t="e">
        <f>AND('4'!#REF!,"AAAAAH8z/Bs=")</f>
        <v>#REF!</v>
      </c>
      <c r="AC32" t="e">
        <f>AND('4'!#REF!,"AAAAAH8z/Bw=")</f>
        <v>#REF!</v>
      </c>
      <c r="AD32" t="e">
        <f>AND('4'!#REF!,"AAAAAH8z/B0=")</f>
        <v>#REF!</v>
      </c>
      <c r="AE32" t="e">
        <f>AND('4'!#REF!,"AAAAAH8z/B4=")</f>
        <v>#REF!</v>
      </c>
      <c r="AF32" t="e">
        <f>AND('4'!#REF!,"AAAAAH8z/B8=")</f>
        <v>#REF!</v>
      </c>
      <c r="AG32" t="e">
        <f>AND('4'!#REF!,"AAAAAH8z/CA=")</f>
        <v>#REF!</v>
      </c>
      <c r="AH32" t="e">
        <f>AND('4'!#REF!,"AAAAAH8z/CE=")</f>
        <v>#REF!</v>
      </c>
      <c r="AI32" t="e">
        <f>AND('4'!#REF!,"AAAAAH8z/CI=")</f>
        <v>#REF!</v>
      </c>
      <c r="AJ32" t="e">
        <f>AND('4'!#REF!,"AAAAAH8z/CM=")</f>
        <v>#REF!</v>
      </c>
      <c r="AK32" t="e">
        <f>AND('4'!#REF!,"AAAAAH8z/CQ=")</f>
        <v>#REF!</v>
      </c>
      <c r="AL32" t="e">
        <f>AND('4'!#REF!,"AAAAAH8z/CU=")</f>
        <v>#REF!</v>
      </c>
      <c r="AM32" t="e">
        <f>AND('4'!#REF!,"AAAAAH8z/CY=")</f>
        <v>#REF!</v>
      </c>
      <c r="AN32" t="e">
        <f>IF('4'!#REF!,"AAAAAH8z/Cc=",0)</f>
        <v>#REF!</v>
      </c>
      <c r="AO32" t="e">
        <f>AND('4'!#REF!,"AAAAAH8z/Cg=")</f>
        <v>#REF!</v>
      </c>
      <c r="AP32" t="e">
        <f>AND('4'!#REF!,"AAAAAH8z/Ck=")</f>
        <v>#REF!</v>
      </c>
      <c r="AQ32" t="e">
        <f>AND('4'!#REF!,"AAAAAH8z/Co=")</f>
        <v>#REF!</v>
      </c>
      <c r="AR32" t="e">
        <f>AND('4'!#REF!,"AAAAAH8z/Cs=")</f>
        <v>#REF!</v>
      </c>
      <c r="AS32" t="e">
        <f>AND('4'!#REF!,"AAAAAH8z/Cw=")</f>
        <v>#REF!</v>
      </c>
      <c r="AT32" t="e">
        <f>AND('4'!#REF!,"AAAAAH8z/C0=")</f>
        <v>#REF!</v>
      </c>
      <c r="AU32" t="e">
        <f>AND('4'!#REF!,"AAAAAH8z/C4=")</f>
        <v>#REF!</v>
      </c>
      <c r="AV32" t="e">
        <f>AND('4'!#REF!,"AAAAAH8z/C8=")</f>
        <v>#REF!</v>
      </c>
      <c r="AW32" t="e">
        <f>AND('4'!#REF!,"AAAAAH8z/DA=")</f>
        <v>#REF!</v>
      </c>
      <c r="AX32" t="e">
        <f>AND('4'!#REF!,"AAAAAH8z/DE=")</f>
        <v>#REF!</v>
      </c>
      <c r="AY32" t="e">
        <f>AND('4'!#REF!,"AAAAAH8z/DI=")</f>
        <v>#REF!</v>
      </c>
      <c r="AZ32" t="e">
        <f>AND('4'!#REF!,"AAAAAH8z/DM=")</f>
        <v>#REF!</v>
      </c>
      <c r="BA32" t="e">
        <f>AND('4'!#REF!,"AAAAAH8z/DQ=")</f>
        <v>#REF!</v>
      </c>
      <c r="BB32" t="e">
        <f>AND('4'!#REF!,"AAAAAH8z/DU=")</f>
        <v>#REF!</v>
      </c>
      <c r="BC32" t="e">
        <f>AND('4'!#REF!,"AAAAAH8z/DY=")</f>
        <v>#REF!</v>
      </c>
      <c r="BD32" t="e">
        <f>AND('4'!#REF!,"AAAAAH8z/Dc=")</f>
        <v>#REF!</v>
      </c>
      <c r="BE32" t="e">
        <f>AND('4'!#REF!,"AAAAAH8z/Dg=")</f>
        <v>#REF!</v>
      </c>
      <c r="BF32" t="e">
        <f>AND('4'!#REF!,"AAAAAH8z/Dk=")</f>
        <v>#REF!</v>
      </c>
      <c r="BG32" t="e">
        <f>AND('4'!#REF!,"AAAAAH8z/Do=")</f>
        <v>#REF!</v>
      </c>
      <c r="BH32" t="e">
        <f>AND('4'!#REF!,"AAAAAH8z/Ds=")</f>
        <v>#REF!</v>
      </c>
      <c r="BI32" t="e">
        <f>IF('4'!#REF!,"AAAAAH8z/Dw=",0)</f>
        <v>#REF!</v>
      </c>
      <c r="BJ32" t="e">
        <f>AND('4'!#REF!,"AAAAAH8z/D0=")</f>
        <v>#REF!</v>
      </c>
      <c r="BK32" t="e">
        <f>AND('4'!#REF!,"AAAAAH8z/D4=")</f>
        <v>#REF!</v>
      </c>
      <c r="BL32" t="e">
        <f>AND('4'!#REF!,"AAAAAH8z/D8=")</f>
        <v>#REF!</v>
      </c>
      <c r="BM32" t="e">
        <f>AND('4'!#REF!,"AAAAAH8z/EA=")</f>
        <v>#REF!</v>
      </c>
      <c r="BN32" t="e">
        <f>AND('4'!#REF!,"AAAAAH8z/EE=")</f>
        <v>#REF!</v>
      </c>
      <c r="BO32" t="e">
        <f>AND('4'!#REF!,"AAAAAH8z/EI=")</f>
        <v>#REF!</v>
      </c>
      <c r="BP32" t="e">
        <f>AND('4'!#REF!,"AAAAAH8z/EM=")</f>
        <v>#REF!</v>
      </c>
      <c r="BQ32" t="e">
        <f>AND('4'!#REF!,"AAAAAH8z/EQ=")</f>
        <v>#REF!</v>
      </c>
      <c r="BR32" t="e">
        <f>AND('4'!#REF!,"AAAAAH8z/EU=")</f>
        <v>#REF!</v>
      </c>
      <c r="BS32" t="e">
        <f>AND('4'!#REF!,"AAAAAH8z/EY=")</f>
        <v>#REF!</v>
      </c>
      <c r="BT32" t="e">
        <f>AND('4'!#REF!,"AAAAAH8z/Ec=")</f>
        <v>#REF!</v>
      </c>
      <c r="BU32" t="e">
        <f>AND('4'!#REF!,"AAAAAH8z/Eg=")</f>
        <v>#REF!</v>
      </c>
      <c r="BV32" t="e">
        <f>AND('4'!#REF!,"AAAAAH8z/Ek=")</f>
        <v>#REF!</v>
      </c>
      <c r="BW32" t="e">
        <f>AND('4'!#REF!,"AAAAAH8z/Eo=")</f>
        <v>#REF!</v>
      </c>
      <c r="BX32" t="e">
        <f>AND('4'!#REF!,"AAAAAH8z/Es=")</f>
        <v>#REF!</v>
      </c>
      <c r="BY32" t="e">
        <f>AND('4'!#REF!,"AAAAAH8z/Ew=")</f>
        <v>#REF!</v>
      </c>
      <c r="BZ32" t="e">
        <f>AND('4'!#REF!,"AAAAAH8z/E0=")</f>
        <v>#REF!</v>
      </c>
      <c r="CA32" t="e">
        <f>AND('4'!#REF!,"AAAAAH8z/E4=")</f>
        <v>#REF!</v>
      </c>
      <c r="CB32" t="e">
        <f>AND('4'!#REF!,"AAAAAH8z/E8=")</f>
        <v>#REF!</v>
      </c>
      <c r="CC32" t="e">
        <f>AND('4'!#REF!,"AAAAAH8z/FA=")</f>
        <v>#REF!</v>
      </c>
      <c r="CD32">
        <f>IF('4'!69:69,"AAAAAH8z/FE=",0)</f>
        <v>0</v>
      </c>
      <c r="CE32" t="e">
        <f>AND('4'!#REF!,"AAAAAH8z/FI=")</f>
        <v>#REF!</v>
      </c>
      <c r="CF32" t="e">
        <f>AND('4'!A69,"AAAAAH8z/FM=")</f>
        <v>#VALUE!</v>
      </c>
      <c r="CG32" t="e">
        <f>AND('4'!B69,"AAAAAH8z/FQ=")</f>
        <v>#VALUE!</v>
      </c>
      <c r="CH32" t="e">
        <f>AND('4'!C69,"AAAAAH8z/FU=")</f>
        <v>#VALUE!</v>
      </c>
      <c r="CI32" t="e">
        <f>AND('4'!D69,"AAAAAH8z/FY=")</f>
        <v>#VALUE!</v>
      </c>
      <c r="CJ32" t="e">
        <f>AND('4'!E69,"AAAAAH8z/Fc=")</f>
        <v>#VALUE!</v>
      </c>
      <c r="CK32" t="e">
        <f>AND('4'!F69,"AAAAAH8z/Fg=")</f>
        <v>#VALUE!</v>
      </c>
      <c r="CL32" t="e">
        <f>AND('4'!G69,"AAAAAH8z/Fk=")</f>
        <v>#VALUE!</v>
      </c>
      <c r="CM32" t="e">
        <f>AND('4'!H69,"AAAAAH8z/Fo=")</f>
        <v>#VALUE!</v>
      </c>
      <c r="CN32" t="e">
        <f>AND('4'!I69,"AAAAAH8z/Fs=")</f>
        <v>#VALUE!</v>
      </c>
      <c r="CO32" t="e">
        <f>AND('4'!J69,"AAAAAH8z/Fw=")</f>
        <v>#VALUE!</v>
      </c>
      <c r="CP32" t="e">
        <f>AND('4'!#REF!,"AAAAAH8z/F0=")</f>
        <v>#REF!</v>
      </c>
      <c r="CQ32" t="e">
        <f>AND('4'!#REF!,"AAAAAH8z/F4=")</f>
        <v>#REF!</v>
      </c>
      <c r="CR32" t="e">
        <f>AND('4'!#REF!,"AAAAAH8z/F8=")</f>
        <v>#REF!</v>
      </c>
      <c r="CS32" t="e">
        <f>AND('4'!#REF!,"AAAAAH8z/GA=")</f>
        <v>#REF!</v>
      </c>
      <c r="CT32" t="e">
        <f>AND('4'!#REF!,"AAAAAH8z/GE=")</f>
        <v>#REF!</v>
      </c>
      <c r="CU32" t="e">
        <f>AND('4'!#REF!,"AAAAAH8z/GI=")</f>
        <v>#REF!</v>
      </c>
      <c r="CV32" t="e">
        <f>AND('4'!K69,"AAAAAH8z/GM=")</f>
        <v>#VALUE!</v>
      </c>
      <c r="CW32" t="e">
        <f>AND('4'!#REF!,"AAAAAH8z/GQ=")</f>
        <v>#REF!</v>
      </c>
      <c r="CX32" t="e">
        <f>AND('4'!#REF!,"AAAAAH8z/GU=")</f>
        <v>#REF!</v>
      </c>
      <c r="CY32">
        <f>IF('4'!70:70,"AAAAAH8z/GY=",0)</f>
        <v>0</v>
      </c>
      <c r="CZ32" t="e">
        <f>AND('4'!#REF!,"AAAAAH8z/Gc=")</f>
        <v>#REF!</v>
      </c>
      <c r="DA32" t="e">
        <f>AND('4'!A70,"AAAAAH8z/Gg=")</f>
        <v>#VALUE!</v>
      </c>
      <c r="DB32" t="e">
        <f>AND('4'!B70,"AAAAAH8z/Gk=")</f>
        <v>#VALUE!</v>
      </c>
      <c r="DC32" t="e">
        <f>AND('4'!C70,"AAAAAH8z/Go=")</f>
        <v>#VALUE!</v>
      </c>
      <c r="DD32" t="e">
        <f>AND('4'!D70,"AAAAAH8z/Gs=")</f>
        <v>#VALUE!</v>
      </c>
      <c r="DE32" t="e">
        <f>AND('4'!E70,"AAAAAH8z/Gw=")</f>
        <v>#VALUE!</v>
      </c>
      <c r="DF32" t="e">
        <f>AND('4'!F70,"AAAAAH8z/G0=")</f>
        <v>#VALUE!</v>
      </c>
      <c r="DG32" t="e">
        <f>AND('4'!G70,"AAAAAH8z/G4=")</f>
        <v>#VALUE!</v>
      </c>
      <c r="DH32" t="e">
        <f>AND('4'!H70,"AAAAAH8z/G8=")</f>
        <v>#VALUE!</v>
      </c>
      <c r="DI32" t="e">
        <f>AND('4'!I70,"AAAAAH8z/HA=")</f>
        <v>#VALUE!</v>
      </c>
      <c r="DJ32" t="e">
        <f>AND('4'!J70,"AAAAAH8z/HE=")</f>
        <v>#VALUE!</v>
      </c>
      <c r="DK32" t="e">
        <f>AND('4'!#REF!,"AAAAAH8z/HI=")</f>
        <v>#REF!</v>
      </c>
      <c r="DL32" t="e">
        <f>AND('4'!#REF!,"AAAAAH8z/HM=")</f>
        <v>#REF!</v>
      </c>
      <c r="DM32" t="e">
        <f>AND('4'!#REF!,"AAAAAH8z/HQ=")</f>
        <v>#REF!</v>
      </c>
      <c r="DN32" t="e">
        <f>AND('4'!#REF!,"AAAAAH8z/HU=")</f>
        <v>#REF!</v>
      </c>
      <c r="DO32" t="e">
        <f>AND('4'!#REF!,"AAAAAH8z/HY=")</f>
        <v>#REF!</v>
      </c>
      <c r="DP32" t="e">
        <f>AND('4'!#REF!,"AAAAAH8z/Hc=")</f>
        <v>#REF!</v>
      </c>
      <c r="DQ32" t="e">
        <f>AND('4'!K70,"AAAAAH8z/Hg=")</f>
        <v>#VALUE!</v>
      </c>
      <c r="DR32" t="e">
        <f>AND('4'!#REF!,"AAAAAH8z/Hk=")</f>
        <v>#REF!</v>
      </c>
      <c r="DS32" t="e">
        <f>AND('4'!#REF!,"AAAAAH8z/Ho=")</f>
        <v>#REF!</v>
      </c>
      <c r="DT32">
        <f>IF('4'!71:71,"AAAAAH8z/Hs=",0)</f>
        <v>0</v>
      </c>
      <c r="DU32" t="e">
        <f>AND('4'!#REF!,"AAAAAH8z/Hw=")</f>
        <v>#REF!</v>
      </c>
      <c r="DV32" t="e">
        <f>AND('4'!A71,"AAAAAH8z/H0=")</f>
        <v>#VALUE!</v>
      </c>
      <c r="DW32" t="e">
        <f>AND('4'!B71,"AAAAAH8z/H4=")</f>
        <v>#VALUE!</v>
      </c>
      <c r="DX32" t="e">
        <f>AND('4'!C71,"AAAAAH8z/H8=")</f>
        <v>#VALUE!</v>
      </c>
      <c r="DY32" t="e">
        <f>AND('4'!D71,"AAAAAH8z/IA=")</f>
        <v>#VALUE!</v>
      </c>
      <c r="DZ32" t="e">
        <f>AND('4'!E71,"AAAAAH8z/IE=")</f>
        <v>#VALUE!</v>
      </c>
      <c r="EA32" t="e">
        <f>AND('4'!F71,"AAAAAH8z/II=")</f>
        <v>#VALUE!</v>
      </c>
      <c r="EB32" t="e">
        <f>AND('4'!G71,"AAAAAH8z/IM=")</f>
        <v>#VALUE!</v>
      </c>
      <c r="EC32" t="e">
        <f>AND('4'!H71,"AAAAAH8z/IQ=")</f>
        <v>#VALUE!</v>
      </c>
      <c r="ED32" t="e">
        <f>AND('4'!I71,"AAAAAH8z/IU=")</f>
        <v>#VALUE!</v>
      </c>
      <c r="EE32" t="e">
        <f>AND('4'!J71,"AAAAAH8z/IY=")</f>
        <v>#VALUE!</v>
      </c>
      <c r="EF32" t="e">
        <f>AND('4'!#REF!,"AAAAAH8z/Ic=")</f>
        <v>#REF!</v>
      </c>
      <c r="EG32" t="e">
        <f>AND('4'!#REF!,"AAAAAH8z/Ig=")</f>
        <v>#REF!</v>
      </c>
      <c r="EH32" t="e">
        <f>AND('4'!#REF!,"AAAAAH8z/Ik=")</f>
        <v>#REF!</v>
      </c>
      <c r="EI32" t="e">
        <f>AND('4'!#REF!,"AAAAAH8z/Io=")</f>
        <v>#REF!</v>
      </c>
      <c r="EJ32" t="e">
        <f>AND('4'!#REF!,"AAAAAH8z/Is=")</f>
        <v>#REF!</v>
      </c>
      <c r="EK32" t="e">
        <f>AND('4'!#REF!,"AAAAAH8z/Iw=")</f>
        <v>#REF!</v>
      </c>
      <c r="EL32" t="e">
        <f>AND('4'!K71,"AAAAAH8z/I0=")</f>
        <v>#VALUE!</v>
      </c>
      <c r="EM32" t="e">
        <f>AND('4'!#REF!,"AAAAAH8z/I4=")</f>
        <v>#REF!</v>
      </c>
      <c r="EN32" t="e">
        <f>AND('4'!#REF!,"AAAAAH8z/I8=")</f>
        <v>#REF!</v>
      </c>
      <c r="EO32">
        <f>IF('4'!72:72,"AAAAAH8z/JA=",0)</f>
        <v>0</v>
      </c>
      <c r="EP32" t="e">
        <f>AND('4'!#REF!,"AAAAAH8z/JE=")</f>
        <v>#REF!</v>
      </c>
      <c r="EQ32" t="e">
        <f>AND('4'!A72,"AAAAAH8z/JI=")</f>
        <v>#VALUE!</v>
      </c>
      <c r="ER32" t="e">
        <f>AND('4'!B72,"AAAAAH8z/JM=")</f>
        <v>#VALUE!</v>
      </c>
      <c r="ES32" t="e">
        <f>AND('4'!C72,"AAAAAH8z/JQ=")</f>
        <v>#VALUE!</v>
      </c>
      <c r="ET32" t="e">
        <f>AND('4'!D72,"AAAAAH8z/JU=")</f>
        <v>#VALUE!</v>
      </c>
      <c r="EU32" t="e">
        <f>AND('4'!E72,"AAAAAH8z/JY=")</f>
        <v>#VALUE!</v>
      </c>
      <c r="EV32" t="e">
        <f>AND('4'!F72,"AAAAAH8z/Jc=")</f>
        <v>#VALUE!</v>
      </c>
      <c r="EW32" t="e">
        <f>AND('4'!G72,"AAAAAH8z/Jg=")</f>
        <v>#VALUE!</v>
      </c>
      <c r="EX32" t="e">
        <f>AND('4'!H72,"AAAAAH8z/Jk=")</f>
        <v>#VALUE!</v>
      </c>
      <c r="EY32" t="e">
        <f>AND('4'!I72,"AAAAAH8z/Jo=")</f>
        <v>#VALUE!</v>
      </c>
      <c r="EZ32" t="e">
        <f>AND('4'!J72,"AAAAAH8z/Js=")</f>
        <v>#VALUE!</v>
      </c>
      <c r="FA32" t="e">
        <f>AND('4'!#REF!,"AAAAAH8z/Jw=")</f>
        <v>#REF!</v>
      </c>
      <c r="FB32" t="e">
        <f>AND('4'!#REF!,"AAAAAH8z/J0=")</f>
        <v>#REF!</v>
      </c>
      <c r="FC32" t="e">
        <f>AND('4'!#REF!,"AAAAAH8z/J4=")</f>
        <v>#REF!</v>
      </c>
      <c r="FD32" t="e">
        <f>AND('4'!#REF!,"AAAAAH8z/J8=")</f>
        <v>#REF!</v>
      </c>
      <c r="FE32" t="e">
        <f>AND('4'!#REF!,"AAAAAH8z/KA=")</f>
        <v>#REF!</v>
      </c>
      <c r="FF32" t="e">
        <f>AND('4'!#REF!,"AAAAAH8z/KE=")</f>
        <v>#REF!</v>
      </c>
      <c r="FG32" t="e">
        <f>AND('4'!K72,"AAAAAH8z/KI=")</f>
        <v>#VALUE!</v>
      </c>
      <c r="FH32" t="e">
        <f>AND('4'!#REF!,"AAAAAH8z/KM=")</f>
        <v>#REF!</v>
      </c>
      <c r="FI32" t="e">
        <f>AND('4'!#REF!,"AAAAAH8z/KQ=")</f>
        <v>#REF!</v>
      </c>
      <c r="FJ32">
        <f>IF('4'!74:74,"AAAAAH8z/KU=",0)</f>
        <v>0</v>
      </c>
      <c r="FK32" t="e">
        <f>AND('4'!#REF!,"AAAAAH8z/KY=")</f>
        <v>#REF!</v>
      </c>
      <c r="FL32" t="e">
        <f>AND('4'!A74,"AAAAAH8z/Kc=")</f>
        <v>#VALUE!</v>
      </c>
      <c r="FM32" t="e">
        <f>AND('4'!B74,"AAAAAH8z/Kg=")</f>
        <v>#VALUE!</v>
      </c>
      <c r="FN32" t="e">
        <f>AND('4'!C74,"AAAAAH8z/Kk=")</f>
        <v>#VALUE!</v>
      </c>
      <c r="FO32" t="e">
        <f>AND('4'!D74,"AAAAAH8z/Ko=")</f>
        <v>#VALUE!</v>
      </c>
      <c r="FP32" t="e">
        <f>AND('4'!E74,"AAAAAH8z/Ks=")</f>
        <v>#VALUE!</v>
      </c>
      <c r="FQ32" t="e">
        <f>AND('4'!F74,"AAAAAH8z/Kw=")</f>
        <v>#VALUE!</v>
      </c>
      <c r="FR32" t="e">
        <f>AND('4'!G74,"AAAAAH8z/K0=")</f>
        <v>#VALUE!</v>
      </c>
      <c r="FS32" t="e">
        <f>AND('4'!H74,"AAAAAH8z/K4=")</f>
        <v>#VALUE!</v>
      </c>
      <c r="FT32" t="e">
        <f>AND('4'!I74,"AAAAAH8z/K8=")</f>
        <v>#VALUE!</v>
      </c>
      <c r="FU32" t="e">
        <f>AND('4'!J74,"AAAAAH8z/LA=")</f>
        <v>#VALUE!</v>
      </c>
      <c r="FV32" t="e">
        <f>AND('4'!#REF!,"AAAAAH8z/LE=")</f>
        <v>#REF!</v>
      </c>
      <c r="FW32" t="e">
        <f>AND('4'!#REF!,"AAAAAH8z/LI=")</f>
        <v>#REF!</v>
      </c>
      <c r="FX32" t="e">
        <f>AND('4'!#REF!,"AAAAAH8z/LM=")</f>
        <v>#REF!</v>
      </c>
      <c r="FY32" t="e">
        <f>AND('4'!#REF!,"AAAAAH8z/LQ=")</f>
        <v>#REF!</v>
      </c>
      <c r="FZ32" t="e">
        <f>AND('4'!#REF!,"AAAAAH8z/LU=")</f>
        <v>#REF!</v>
      </c>
      <c r="GA32" t="e">
        <f>AND('4'!#REF!,"AAAAAH8z/LY=")</f>
        <v>#REF!</v>
      </c>
      <c r="GB32" t="e">
        <f>AND('4'!K74,"AAAAAH8z/Lc=")</f>
        <v>#VALUE!</v>
      </c>
      <c r="GC32" t="e">
        <f>AND('4'!#REF!,"AAAAAH8z/Lg=")</f>
        <v>#REF!</v>
      </c>
      <c r="GD32" t="e">
        <f>AND('4'!#REF!,"AAAAAH8z/Lk=")</f>
        <v>#REF!</v>
      </c>
      <c r="GE32">
        <f>IF('4'!75:75,"AAAAAH8z/Lo=",0)</f>
        <v>0</v>
      </c>
      <c r="GF32">
        <f>IF('4'!76:76,"AAAAAH8z/Ls=",0)</f>
        <v>0</v>
      </c>
      <c r="GG32">
        <f>IF('4'!77:77,"AAAAAH8z/Lw=",0)</f>
        <v>0</v>
      </c>
      <c r="GH32">
        <f>IF('4'!78:78,"AAAAAH8z/L0=",0)</f>
        <v>0</v>
      </c>
      <c r="GI32">
        <f>IF('4'!79:79,"AAAAAH8z/L4=",0)</f>
        <v>0</v>
      </c>
      <c r="GJ32">
        <f>IF('4'!80:80,"AAAAAH8z/L8=",0)</f>
        <v>0</v>
      </c>
      <c r="GK32">
        <f>IF('4'!81:81,"AAAAAH8z/MA=",0)</f>
        <v>0</v>
      </c>
      <c r="GL32">
        <f>IF('4'!82:82,"AAAAAH8z/ME=",0)</f>
        <v>0</v>
      </c>
      <c r="GM32" t="e">
        <f>IF('4'!#REF!,"AAAAAH8z/MI=",0)</f>
        <v>#REF!</v>
      </c>
      <c r="GN32">
        <f>IF('4'!A:A,"AAAAAH8z/MM=",0)</f>
        <v>0</v>
      </c>
      <c r="GO32">
        <f>IF('4'!B:B,"AAAAAH8z/MQ=",0)</f>
        <v>0</v>
      </c>
      <c r="GP32">
        <f>IF('4'!C:C,"AAAAAH8z/MU=",0)</f>
        <v>0</v>
      </c>
      <c r="GQ32">
        <f>IF('4'!D:D,"AAAAAH8z/MY=",0)</f>
        <v>0</v>
      </c>
      <c r="GR32">
        <f>IF('4'!E:E,"AAAAAH8z/Mc=",0)</f>
        <v>0</v>
      </c>
      <c r="GS32">
        <f>IF('4'!F:F,"AAAAAH8z/Mg=",0)</f>
        <v>0</v>
      </c>
      <c r="GT32">
        <f>IF('4'!G:G,"AAAAAH8z/Mk=",0)</f>
        <v>0</v>
      </c>
      <c r="GU32">
        <f>IF('4'!H:H,"AAAAAH8z/Mo=",0)</f>
        <v>0</v>
      </c>
      <c r="GV32">
        <f>IF('4'!I:I,"AAAAAH8z/Ms=",0)</f>
        <v>0</v>
      </c>
      <c r="GW32">
        <f>IF('4'!J:J,"AAAAAH8z/Mw=",0)</f>
        <v>0</v>
      </c>
      <c r="GX32" t="e">
        <f>IF('4'!#REF!,"AAAAAH8z/M0=",0)</f>
        <v>#REF!</v>
      </c>
      <c r="GY32" t="e">
        <f>IF('4'!#REF!,"AAAAAH8z/M4=",0)</f>
        <v>#REF!</v>
      </c>
      <c r="GZ32" t="e">
        <f>IF('4'!#REF!,"AAAAAH8z/M8=",0)</f>
        <v>#REF!</v>
      </c>
      <c r="HA32" t="e">
        <f>IF('4'!#REF!,"AAAAAH8z/NA=",0)</f>
        <v>#REF!</v>
      </c>
      <c r="HB32" t="e">
        <f>IF('4'!#REF!,"AAAAAH8z/NE=",0)</f>
        <v>#REF!</v>
      </c>
      <c r="HC32" t="e">
        <f>IF('4'!#REF!,"AAAAAH8z/NI=",0)</f>
        <v>#REF!</v>
      </c>
      <c r="HD32">
        <f>IF('4'!K:K,"AAAAAH8z/NM=",0)</f>
        <v>0</v>
      </c>
      <c r="HE32" t="e">
        <f ca="1">IF(_xlfn.SINGLE('4'!#REF!),"AAAAAH8z/NQ=",0)</f>
        <v>#NAME?</v>
      </c>
      <c r="HF32" t="e">
        <f ca="1">IF(_xlfn.SINGLE('4'!#REF!),"AAAAAH8z/NU=",0)</f>
        <v>#NAME?</v>
      </c>
      <c r="HG32" t="e">
        <f>IF(#REF!,"AAAAAH8z/NY=",0)</f>
        <v>#REF!</v>
      </c>
      <c r="HH32" t="e">
        <f>AND(#REF!,"AAAAAH8z/Nc=")</f>
        <v>#REF!</v>
      </c>
      <c r="HI32" t="e">
        <f>AND(#REF!,"AAAAAH8z/Ng=")</f>
        <v>#REF!</v>
      </c>
      <c r="HJ32" t="e">
        <f>AND(#REF!,"AAAAAH8z/Nk=")</f>
        <v>#REF!</v>
      </c>
      <c r="HK32" t="e">
        <f>AND(#REF!,"AAAAAH8z/No=")</f>
        <v>#REF!</v>
      </c>
      <c r="HL32" t="e">
        <f>AND(#REF!,"AAAAAH8z/Ns=")</f>
        <v>#REF!</v>
      </c>
      <c r="HM32" t="e">
        <f>AND(#REF!,"AAAAAH8z/Nw=")</f>
        <v>#REF!</v>
      </c>
      <c r="HN32" t="e">
        <f>AND(#REF!,"AAAAAH8z/N0=")</f>
        <v>#REF!</v>
      </c>
      <c r="HO32" t="e">
        <f>AND(#REF!,"AAAAAH8z/N4=")</f>
        <v>#REF!</v>
      </c>
      <c r="HP32" t="e">
        <f>AND(#REF!,"AAAAAH8z/N8=")</f>
        <v>#REF!</v>
      </c>
      <c r="HQ32" t="e">
        <f>AND(#REF!,"AAAAAH8z/OA=")</f>
        <v>#REF!</v>
      </c>
      <c r="HR32" t="e">
        <f>AND(#REF!,"AAAAAH8z/OE=")</f>
        <v>#REF!</v>
      </c>
      <c r="HS32" t="e">
        <f>AND(#REF!,"AAAAAH8z/OI=")</f>
        <v>#REF!</v>
      </c>
      <c r="HT32" t="e">
        <f>AND(#REF!,"AAAAAH8z/OM=")</f>
        <v>#REF!</v>
      </c>
      <c r="HU32" t="e">
        <f>AND(#REF!,"AAAAAH8z/OQ=")</f>
        <v>#REF!</v>
      </c>
      <c r="HV32" t="e">
        <f>AND(#REF!,"AAAAAH8z/OU=")</f>
        <v>#REF!</v>
      </c>
      <c r="HW32" t="e">
        <f>AND(#REF!,"AAAAAH8z/OY=")</f>
        <v>#REF!</v>
      </c>
      <c r="HX32" t="e">
        <f>AND(#REF!,"AAAAAH8z/Oc=")</f>
        <v>#REF!</v>
      </c>
      <c r="HY32" t="e">
        <f>AND(#REF!,"AAAAAH8z/Og=")</f>
        <v>#REF!</v>
      </c>
      <c r="HZ32" t="e">
        <f>AND(#REF!,"AAAAAH8z/Ok=")</f>
        <v>#REF!</v>
      </c>
      <c r="IA32" t="e">
        <f>AND(#REF!,"AAAAAH8z/Oo=")</f>
        <v>#REF!</v>
      </c>
      <c r="IB32" t="e">
        <f>IF(#REF!,"AAAAAH8z/Os=",0)</f>
        <v>#REF!</v>
      </c>
      <c r="IC32" t="e">
        <f>AND(#REF!,"AAAAAH8z/Ow=")</f>
        <v>#REF!</v>
      </c>
      <c r="ID32" t="e">
        <f>AND(#REF!,"AAAAAH8z/O0=")</f>
        <v>#REF!</v>
      </c>
      <c r="IE32" t="e">
        <f>AND(#REF!,"AAAAAH8z/O4=")</f>
        <v>#REF!</v>
      </c>
      <c r="IF32" t="e">
        <f>AND(#REF!,"AAAAAH8z/O8=")</f>
        <v>#REF!</v>
      </c>
      <c r="IG32" t="e">
        <f>AND(#REF!,"AAAAAH8z/PA=")</f>
        <v>#REF!</v>
      </c>
      <c r="IH32" t="e">
        <f>AND(#REF!,"AAAAAH8z/PE=")</f>
        <v>#REF!</v>
      </c>
      <c r="II32" t="e">
        <f>AND(#REF!,"AAAAAH8z/PI=")</f>
        <v>#REF!</v>
      </c>
      <c r="IJ32" t="e">
        <f>AND(#REF!,"AAAAAH8z/PM=")</f>
        <v>#REF!</v>
      </c>
      <c r="IK32" t="e">
        <f>AND(#REF!,"AAAAAH8z/PQ=")</f>
        <v>#REF!</v>
      </c>
      <c r="IL32" t="e">
        <f>AND(#REF!,"AAAAAH8z/PU=")</f>
        <v>#REF!</v>
      </c>
      <c r="IM32" t="e">
        <f>AND(#REF!,"AAAAAH8z/PY=")</f>
        <v>#REF!</v>
      </c>
      <c r="IN32" t="e">
        <f>AND(#REF!,"AAAAAH8z/Pc=")</f>
        <v>#REF!</v>
      </c>
      <c r="IO32" t="e">
        <f>AND(#REF!,"AAAAAH8z/Pg=")</f>
        <v>#REF!</v>
      </c>
      <c r="IP32" t="e">
        <f>AND(#REF!,"AAAAAH8z/Pk=")</f>
        <v>#REF!</v>
      </c>
      <c r="IQ32" t="e">
        <f>AND(#REF!,"AAAAAH8z/Po=")</f>
        <v>#REF!</v>
      </c>
      <c r="IR32" t="e">
        <f>AND(#REF!,"AAAAAH8z/Ps=")</f>
        <v>#REF!</v>
      </c>
      <c r="IS32" t="e">
        <f>AND(#REF!,"AAAAAH8z/Pw=")</f>
        <v>#REF!</v>
      </c>
      <c r="IT32" t="e">
        <f>AND(#REF!,"AAAAAH8z/P0=")</f>
        <v>#REF!</v>
      </c>
      <c r="IU32" t="e">
        <f>AND(#REF!,"AAAAAH8z/P4=")</f>
        <v>#REF!</v>
      </c>
      <c r="IV32" t="e">
        <f>AND(#REF!,"AAAAAH8z/P8=")</f>
        <v>#REF!</v>
      </c>
    </row>
    <row r="33" spans="1:256" x14ac:dyDescent="0.25">
      <c r="A33" t="e">
        <f>IF(#REF!,"AAAAAGDv9QA=",0)</f>
        <v>#REF!</v>
      </c>
      <c r="B33" t="e">
        <f>AND(#REF!,"AAAAAGDv9QE=")</f>
        <v>#REF!</v>
      </c>
      <c r="C33" t="e">
        <f>AND(#REF!,"AAAAAGDv9QI=")</f>
        <v>#REF!</v>
      </c>
      <c r="D33" t="e">
        <f>AND(#REF!,"AAAAAGDv9QM=")</f>
        <v>#REF!</v>
      </c>
      <c r="E33" t="e">
        <f>AND(#REF!,"AAAAAGDv9QQ=")</f>
        <v>#REF!</v>
      </c>
      <c r="F33" t="e">
        <f>AND(#REF!,"AAAAAGDv9QU=")</f>
        <v>#REF!</v>
      </c>
      <c r="G33" t="e">
        <f>AND(#REF!,"AAAAAGDv9QY=")</f>
        <v>#REF!</v>
      </c>
      <c r="H33" t="e">
        <f>AND(#REF!,"AAAAAGDv9Qc=")</f>
        <v>#REF!</v>
      </c>
      <c r="I33" t="e">
        <f>AND(#REF!,"AAAAAGDv9Qg=")</f>
        <v>#REF!</v>
      </c>
      <c r="J33" t="e">
        <f>AND(#REF!,"AAAAAGDv9Qk=")</f>
        <v>#REF!</v>
      </c>
      <c r="K33" t="e">
        <f>AND(#REF!,"AAAAAGDv9Qo=")</f>
        <v>#REF!</v>
      </c>
      <c r="L33" t="e">
        <f>AND(#REF!,"AAAAAGDv9Qs=")</f>
        <v>#REF!</v>
      </c>
      <c r="M33" t="e">
        <f>AND(#REF!,"AAAAAGDv9Qw=")</f>
        <v>#REF!</v>
      </c>
      <c r="N33" t="e">
        <f>AND(#REF!,"AAAAAGDv9Q0=")</f>
        <v>#REF!</v>
      </c>
      <c r="O33" t="e">
        <f>AND(#REF!,"AAAAAGDv9Q4=")</f>
        <v>#REF!</v>
      </c>
      <c r="P33" t="e">
        <f>AND(#REF!,"AAAAAGDv9Q8=")</f>
        <v>#REF!</v>
      </c>
      <c r="Q33" t="e">
        <f>AND(#REF!,"AAAAAGDv9RA=")</f>
        <v>#REF!</v>
      </c>
      <c r="R33" t="e">
        <f>AND(#REF!,"AAAAAGDv9RE=")</f>
        <v>#REF!</v>
      </c>
      <c r="S33" t="e">
        <f>AND(#REF!,"AAAAAGDv9RI=")</f>
        <v>#REF!</v>
      </c>
      <c r="T33" t="e">
        <f>AND(#REF!,"AAAAAGDv9RM=")</f>
        <v>#REF!</v>
      </c>
      <c r="U33" t="e">
        <f>AND(#REF!,"AAAAAGDv9RQ=")</f>
        <v>#REF!</v>
      </c>
      <c r="V33" t="e">
        <f>IF(#REF!,"AAAAAGDv9RU=",0)</f>
        <v>#REF!</v>
      </c>
      <c r="W33" t="e">
        <f>AND(#REF!,"AAAAAGDv9RY=")</f>
        <v>#REF!</v>
      </c>
      <c r="X33" t="e">
        <f>AND(#REF!,"AAAAAGDv9Rc=")</f>
        <v>#REF!</v>
      </c>
      <c r="Y33" t="e">
        <f>AND(#REF!,"AAAAAGDv9Rg=")</f>
        <v>#REF!</v>
      </c>
      <c r="Z33" t="e">
        <f>AND(#REF!,"AAAAAGDv9Rk=")</f>
        <v>#REF!</v>
      </c>
      <c r="AA33" t="e">
        <f>AND(#REF!,"AAAAAGDv9Ro=")</f>
        <v>#REF!</v>
      </c>
      <c r="AB33" t="e">
        <f>AND(#REF!,"AAAAAGDv9Rs=")</f>
        <v>#REF!</v>
      </c>
      <c r="AC33" t="e">
        <f>AND(#REF!,"AAAAAGDv9Rw=")</f>
        <v>#REF!</v>
      </c>
      <c r="AD33" t="e">
        <f>AND(#REF!,"AAAAAGDv9R0=")</f>
        <v>#REF!</v>
      </c>
      <c r="AE33" t="e">
        <f>AND(#REF!,"AAAAAGDv9R4=")</f>
        <v>#REF!</v>
      </c>
      <c r="AF33" t="e">
        <f>AND(#REF!,"AAAAAGDv9R8=")</f>
        <v>#REF!</v>
      </c>
      <c r="AG33" t="e">
        <f>AND(#REF!,"AAAAAGDv9SA=")</f>
        <v>#REF!</v>
      </c>
      <c r="AH33" t="e">
        <f>AND(#REF!,"AAAAAGDv9SE=")</f>
        <v>#REF!</v>
      </c>
      <c r="AI33" t="e">
        <f>AND(#REF!,"AAAAAGDv9SI=")</f>
        <v>#REF!</v>
      </c>
      <c r="AJ33" t="e">
        <f>AND(#REF!,"AAAAAGDv9SM=")</f>
        <v>#REF!</v>
      </c>
      <c r="AK33" t="e">
        <f>AND(#REF!,"AAAAAGDv9SQ=")</f>
        <v>#REF!</v>
      </c>
      <c r="AL33" t="e">
        <f>AND(#REF!,"AAAAAGDv9SU=")</f>
        <v>#REF!</v>
      </c>
      <c r="AM33" t="e">
        <f>AND(#REF!,"AAAAAGDv9SY=")</f>
        <v>#REF!</v>
      </c>
      <c r="AN33" t="e">
        <f>AND(#REF!,"AAAAAGDv9Sc=")</f>
        <v>#REF!</v>
      </c>
      <c r="AO33" t="e">
        <f>AND(#REF!,"AAAAAGDv9Sg=")</f>
        <v>#REF!</v>
      </c>
      <c r="AP33" t="e">
        <f>AND(#REF!,"AAAAAGDv9Sk=")</f>
        <v>#REF!</v>
      </c>
      <c r="AQ33" t="e">
        <f>IF(#REF!,"AAAAAGDv9So=",0)</f>
        <v>#REF!</v>
      </c>
      <c r="AR33" t="e">
        <f>AND(#REF!,"AAAAAGDv9Ss=")</f>
        <v>#REF!</v>
      </c>
      <c r="AS33" t="e">
        <f>AND(#REF!,"AAAAAGDv9Sw=")</f>
        <v>#REF!</v>
      </c>
      <c r="AT33" t="e">
        <f>AND(#REF!,"AAAAAGDv9S0=")</f>
        <v>#REF!</v>
      </c>
      <c r="AU33" t="e">
        <f>AND(#REF!,"AAAAAGDv9S4=")</f>
        <v>#REF!</v>
      </c>
      <c r="AV33" t="e">
        <f>AND(#REF!,"AAAAAGDv9S8=")</f>
        <v>#REF!</v>
      </c>
      <c r="AW33" t="e">
        <f>AND(#REF!,"AAAAAGDv9TA=")</f>
        <v>#REF!</v>
      </c>
      <c r="AX33" t="e">
        <f>AND(#REF!,"AAAAAGDv9TE=")</f>
        <v>#REF!</v>
      </c>
      <c r="AY33" t="e">
        <f>AND(#REF!,"AAAAAGDv9TI=")</f>
        <v>#REF!</v>
      </c>
      <c r="AZ33" t="e">
        <f>AND(#REF!,"AAAAAGDv9TM=")</f>
        <v>#REF!</v>
      </c>
      <c r="BA33" t="e">
        <f>AND(#REF!,"AAAAAGDv9TQ=")</f>
        <v>#REF!</v>
      </c>
      <c r="BB33" t="e">
        <f>AND(#REF!,"AAAAAGDv9TU=")</f>
        <v>#REF!</v>
      </c>
      <c r="BC33" t="e">
        <f>AND(#REF!,"AAAAAGDv9TY=")</f>
        <v>#REF!</v>
      </c>
      <c r="BD33" t="e">
        <f>AND(#REF!,"AAAAAGDv9Tc=")</f>
        <v>#REF!</v>
      </c>
      <c r="BE33" t="e">
        <f>AND(#REF!,"AAAAAGDv9Tg=")</f>
        <v>#REF!</v>
      </c>
      <c r="BF33" t="e">
        <f>AND(#REF!,"AAAAAGDv9Tk=")</f>
        <v>#REF!</v>
      </c>
      <c r="BG33" t="e">
        <f>AND(#REF!,"AAAAAGDv9To=")</f>
        <v>#REF!</v>
      </c>
      <c r="BH33" t="e">
        <f>AND(#REF!,"AAAAAGDv9Ts=")</f>
        <v>#REF!</v>
      </c>
      <c r="BI33" t="e">
        <f>AND(#REF!,"AAAAAGDv9Tw=")</f>
        <v>#REF!</v>
      </c>
      <c r="BJ33" t="e">
        <f>AND(#REF!,"AAAAAGDv9T0=")</f>
        <v>#REF!</v>
      </c>
      <c r="BK33" t="e">
        <f>AND(#REF!,"AAAAAGDv9T4=")</f>
        <v>#REF!</v>
      </c>
      <c r="BL33" t="e">
        <f>IF(#REF!,"AAAAAGDv9T8=",0)</f>
        <v>#REF!</v>
      </c>
      <c r="BM33" t="e">
        <f>AND(#REF!,"AAAAAGDv9UA=")</f>
        <v>#REF!</v>
      </c>
      <c r="BN33" t="e">
        <f>AND(#REF!,"AAAAAGDv9UE=")</f>
        <v>#REF!</v>
      </c>
      <c r="BO33" t="e">
        <f>AND(#REF!,"AAAAAGDv9UI=")</f>
        <v>#REF!</v>
      </c>
      <c r="BP33" t="e">
        <f>AND(#REF!,"AAAAAGDv9UM=")</f>
        <v>#REF!</v>
      </c>
      <c r="BQ33" t="e">
        <f>AND(#REF!,"AAAAAGDv9UQ=")</f>
        <v>#REF!</v>
      </c>
      <c r="BR33" t="e">
        <f>AND(#REF!,"AAAAAGDv9UU=")</f>
        <v>#REF!</v>
      </c>
      <c r="BS33" t="e">
        <f>AND(#REF!,"AAAAAGDv9UY=")</f>
        <v>#REF!</v>
      </c>
      <c r="BT33" t="e">
        <f>AND(#REF!,"AAAAAGDv9Uc=")</f>
        <v>#REF!</v>
      </c>
      <c r="BU33" t="e">
        <f>AND(#REF!,"AAAAAGDv9Ug=")</f>
        <v>#REF!</v>
      </c>
      <c r="BV33" t="e">
        <f>AND(#REF!,"AAAAAGDv9Uk=")</f>
        <v>#REF!</v>
      </c>
      <c r="BW33" t="e">
        <f>AND(#REF!,"AAAAAGDv9Uo=")</f>
        <v>#REF!</v>
      </c>
      <c r="BX33" t="e">
        <f>AND(#REF!,"AAAAAGDv9Us=")</f>
        <v>#REF!</v>
      </c>
      <c r="BY33" t="e">
        <f>AND(#REF!,"AAAAAGDv9Uw=")</f>
        <v>#REF!</v>
      </c>
      <c r="BZ33" t="e">
        <f>AND(#REF!,"AAAAAGDv9U0=")</f>
        <v>#REF!</v>
      </c>
      <c r="CA33" t="e">
        <f>AND(#REF!,"AAAAAGDv9U4=")</f>
        <v>#REF!</v>
      </c>
      <c r="CB33" t="e">
        <f>AND(#REF!,"AAAAAGDv9U8=")</f>
        <v>#REF!</v>
      </c>
      <c r="CC33" t="e">
        <f>AND(#REF!,"AAAAAGDv9VA=")</f>
        <v>#REF!</v>
      </c>
      <c r="CD33" t="e">
        <f>AND(#REF!,"AAAAAGDv9VE=")</f>
        <v>#REF!</v>
      </c>
      <c r="CE33" t="e">
        <f>AND(#REF!,"AAAAAGDv9VI=")</f>
        <v>#REF!</v>
      </c>
      <c r="CF33" t="e">
        <f>AND(#REF!,"AAAAAGDv9VM=")</f>
        <v>#REF!</v>
      </c>
      <c r="CG33" t="e">
        <f>IF(#REF!,"AAAAAGDv9VQ=",0)</f>
        <v>#REF!</v>
      </c>
      <c r="CH33" t="e">
        <f>AND(#REF!,"AAAAAGDv9VU=")</f>
        <v>#REF!</v>
      </c>
      <c r="CI33" t="e">
        <f>AND(#REF!,"AAAAAGDv9VY=")</f>
        <v>#REF!</v>
      </c>
      <c r="CJ33" t="e">
        <f>AND(#REF!,"AAAAAGDv9Vc=")</f>
        <v>#REF!</v>
      </c>
      <c r="CK33" t="e">
        <f>AND(#REF!,"AAAAAGDv9Vg=")</f>
        <v>#REF!</v>
      </c>
      <c r="CL33" t="e">
        <f>AND(#REF!,"AAAAAGDv9Vk=")</f>
        <v>#REF!</v>
      </c>
      <c r="CM33" t="e">
        <f>AND(#REF!,"AAAAAGDv9Vo=")</f>
        <v>#REF!</v>
      </c>
      <c r="CN33" t="e">
        <f>AND(#REF!,"AAAAAGDv9Vs=")</f>
        <v>#REF!</v>
      </c>
      <c r="CO33" t="e">
        <f>AND(#REF!,"AAAAAGDv9Vw=")</f>
        <v>#REF!</v>
      </c>
      <c r="CP33" t="e">
        <f>AND(#REF!,"AAAAAGDv9V0=")</f>
        <v>#REF!</v>
      </c>
      <c r="CQ33" t="e">
        <f>AND(#REF!,"AAAAAGDv9V4=")</f>
        <v>#REF!</v>
      </c>
      <c r="CR33" t="e">
        <f>AND(#REF!,"AAAAAGDv9V8=")</f>
        <v>#REF!</v>
      </c>
      <c r="CS33" t="e">
        <f>AND(#REF!,"AAAAAGDv9WA=")</f>
        <v>#REF!</v>
      </c>
      <c r="CT33" t="e">
        <f>AND(#REF!,"AAAAAGDv9WE=")</f>
        <v>#REF!</v>
      </c>
      <c r="CU33" t="e">
        <f>AND(#REF!,"AAAAAGDv9WI=")</f>
        <v>#REF!</v>
      </c>
      <c r="CV33" t="e">
        <f>AND(#REF!,"AAAAAGDv9WM=")</f>
        <v>#REF!</v>
      </c>
      <c r="CW33" t="e">
        <f>AND(#REF!,"AAAAAGDv9WQ=")</f>
        <v>#REF!</v>
      </c>
      <c r="CX33" t="e">
        <f>AND(#REF!,"AAAAAGDv9WU=")</f>
        <v>#REF!</v>
      </c>
      <c r="CY33" t="e">
        <f>AND(#REF!,"AAAAAGDv9WY=")</f>
        <v>#REF!</v>
      </c>
      <c r="CZ33" t="e">
        <f>AND(#REF!,"AAAAAGDv9Wc=")</f>
        <v>#REF!</v>
      </c>
      <c r="DA33" t="e">
        <f>AND(#REF!,"AAAAAGDv9Wg=")</f>
        <v>#REF!</v>
      </c>
      <c r="DB33" t="e">
        <f>IF(#REF!,"AAAAAGDv9Wk=",0)</f>
        <v>#REF!</v>
      </c>
      <c r="DC33" t="e">
        <f>AND(#REF!,"AAAAAGDv9Wo=")</f>
        <v>#REF!</v>
      </c>
      <c r="DD33" t="e">
        <f>AND(#REF!,"AAAAAGDv9Ws=")</f>
        <v>#REF!</v>
      </c>
      <c r="DE33" t="e">
        <f>AND(#REF!,"AAAAAGDv9Ww=")</f>
        <v>#REF!</v>
      </c>
      <c r="DF33" t="e">
        <f>AND(#REF!,"AAAAAGDv9W0=")</f>
        <v>#REF!</v>
      </c>
      <c r="DG33" t="e">
        <f>AND(#REF!,"AAAAAGDv9W4=")</f>
        <v>#REF!</v>
      </c>
      <c r="DH33" t="e">
        <f>AND(#REF!,"AAAAAGDv9W8=")</f>
        <v>#REF!</v>
      </c>
      <c r="DI33" t="e">
        <f>AND(#REF!,"AAAAAGDv9XA=")</f>
        <v>#REF!</v>
      </c>
      <c r="DJ33" t="e">
        <f>AND(#REF!,"AAAAAGDv9XE=")</f>
        <v>#REF!</v>
      </c>
      <c r="DK33" t="e">
        <f>AND(#REF!,"AAAAAGDv9XI=")</f>
        <v>#REF!</v>
      </c>
      <c r="DL33" t="e">
        <f>AND(#REF!,"AAAAAGDv9XM=")</f>
        <v>#REF!</v>
      </c>
      <c r="DM33" t="e">
        <f>AND(#REF!,"AAAAAGDv9XQ=")</f>
        <v>#REF!</v>
      </c>
      <c r="DN33" t="e">
        <f>AND(#REF!,"AAAAAGDv9XU=")</f>
        <v>#REF!</v>
      </c>
      <c r="DO33" t="e">
        <f>AND(#REF!,"AAAAAGDv9XY=")</f>
        <v>#REF!</v>
      </c>
      <c r="DP33" t="e">
        <f>AND(#REF!,"AAAAAGDv9Xc=")</f>
        <v>#REF!</v>
      </c>
      <c r="DQ33" t="e">
        <f>AND(#REF!,"AAAAAGDv9Xg=")</f>
        <v>#REF!</v>
      </c>
      <c r="DR33" t="e">
        <f>AND(#REF!,"AAAAAGDv9Xk=")</f>
        <v>#REF!</v>
      </c>
      <c r="DS33" t="e">
        <f>AND(#REF!,"AAAAAGDv9Xo=")</f>
        <v>#REF!</v>
      </c>
      <c r="DT33" t="e">
        <f>AND(#REF!,"AAAAAGDv9Xs=")</f>
        <v>#REF!</v>
      </c>
      <c r="DU33" t="e">
        <f>AND(#REF!,"AAAAAGDv9Xw=")</f>
        <v>#REF!</v>
      </c>
      <c r="DV33" t="e">
        <f>AND(#REF!,"AAAAAGDv9X0=")</f>
        <v>#REF!</v>
      </c>
      <c r="DW33" t="e">
        <f>IF(#REF!,"AAAAAGDv9X4=",0)</f>
        <v>#REF!</v>
      </c>
      <c r="DX33" t="e">
        <f>AND(#REF!,"AAAAAGDv9X8=")</f>
        <v>#REF!</v>
      </c>
      <c r="DY33" t="e">
        <f>AND(#REF!,"AAAAAGDv9YA=")</f>
        <v>#REF!</v>
      </c>
      <c r="DZ33" t="e">
        <f>AND(#REF!,"AAAAAGDv9YE=")</f>
        <v>#REF!</v>
      </c>
      <c r="EA33" t="e">
        <f>AND(#REF!,"AAAAAGDv9YI=")</f>
        <v>#REF!</v>
      </c>
      <c r="EB33" t="e">
        <f>AND(#REF!,"AAAAAGDv9YM=")</f>
        <v>#REF!</v>
      </c>
      <c r="EC33" t="e">
        <f>AND(#REF!,"AAAAAGDv9YQ=")</f>
        <v>#REF!</v>
      </c>
      <c r="ED33" t="e">
        <f>AND(#REF!,"AAAAAGDv9YU=")</f>
        <v>#REF!</v>
      </c>
      <c r="EE33" t="e">
        <f>AND(#REF!,"AAAAAGDv9YY=")</f>
        <v>#REF!</v>
      </c>
      <c r="EF33" t="e">
        <f>AND(#REF!,"AAAAAGDv9Yc=")</f>
        <v>#REF!</v>
      </c>
      <c r="EG33" t="e">
        <f>AND(#REF!,"AAAAAGDv9Yg=")</f>
        <v>#REF!</v>
      </c>
      <c r="EH33" t="e">
        <f>AND(#REF!,"AAAAAGDv9Yk=")</f>
        <v>#REF!</v>
      </c>
      <c r="EI33" t="e">
        <f>AND(#REF!,"AAAAAGDv9Yo=")</f>
        <v>#REF!</v>
      </c>
      <c r="EJ33" t="e">
        <f>AND(#REF!,"AAAAAGDv9Ys=")</f>
        <v>#REF!</v>
      </c>
      <c r="EK33" t="e">
        <f>AND(#REF!,"AAAAAGDv9Yw=")</f>
        <v>#REF!</v>
      </c>
      <c r="EL33" t="e">
        <f>AND(#REF!,"AAAAAGDv9Y0=")</f>
        <v>#REF!</v>
      </c>
      <c r="EM33" t="e">
        <f>AND(#REF!,"AAAAAGDv9Y4=")</f>
        <v>#REF!</v>
      </c>
      <c r="EN33" t="e">
        <f>AND(#REF!,"AAAAAGDv9Y8=")</f>
        <v>#REF!</v>
      </c>
      <c r="EO33" t="e">
        <f>AND(#REF!,"AAAAAGDv9ZA=")</f>
        <v>#REF!</v>
      </c>
      <c r="EP33" t="e">
        <f>AND(#REF!,"AAAAAGDv9ZE=")</f>
        <v>#REF!</v>
      </c>
      <c r="EQ33" t="e">
        <f>AND(#REF!,"AAAAAGDv9ZI=")</f>
        <v>#REF!</v>
      </c>
      <c r="ER33" t="e">
        <f>IF(#REF!,"AAAAAGDv9ZM=",0)</f>
        <v>#REF!</v>
      </c>
      <c r="ES33" t="e">
        <f>AND(#REF!,"AAAAAGDv9ZQ=")</f>
        <v>#REF!</v>
      </c>
      <c r="ET33" t="e">
        <f>AND(#REF!,"AAAAAGDv9ZU=")</f>
        <v>#REF!</v>
      </c>
      <c r="EU33" t="e">
        <f>AND(#REF!,"AAAAAGDv9ZY=")</f>
        <v>#REF!</v>
      </c>
      <c r="EV33" t="e">
        <f>AND(#REF!,"AAAAAGDv9Zc=")</f>
        <v>#REF!</v>
      </c>
      <c r="EW33" t="e">
        <f>AND(#REF!,"AAAAAGDv9Zg=")</f>
        <v>#REF!</v>
      </c>
      <c r="EX33" t="e">
        <f>AND(#REF!,"AAAAAGDv9Zk=")</f>
        <v>#REF!</v>
      </c>
      <c r="EY33" t="e">
        <f>AND(#REF!,"AAAAAGDv9Zo=")</f>
        <v>#REF!</v>
      </c>
      <c r="EZ33" t="e">
        <f>AND(#REF!,"AAAAAGDv9Zs=")</f>
        <v>#REF!</v>
      </c>
      <c r="FA33" t="e">
        <f>AND(#REF!,"AAAAAGDv9Zw=")</f>
        <v>#REF!</v>
      </c>
      <c r="FB33" t="e">
        <f>AND(#REF!,"AAAAAGDv9Z0=")</f>
        <v>#REF!</v>
      </c>
      <c r="FC33" t="e">
        <f>AND(#REF!,"AAAAAGDv9Z4=")</f>
        <v>#REF!</v>
      </c>
      <c r="FD33" t="e">
        <f>AND(#REF!,"AAAAAGDv9Z8=")</f>
        <v>#REF!</v>
      </c>
      <c r="FE33" t="e">
        <f>AND(#REF!,"AAAAAGDv9aA=")</f>
        <v>#REF!</v>
      </c>
      <c r="FF33" t="e">
        <f>AND(#REF!,"AAAAAGDv9aE=")</f>
        <v>#REF!</v>
      </c>
      <c r="FG33" t="e">
        <f>AND(#REF!,"AAAAAGDv9aI=")</f>
        <v>#REF!</v>
      </c>
      <c r="FH33" t="e">
        <f>AND(#REF!,"AAAAAGDv9aM=")</f>
        <v>#REF!</v>
      </c>
      <c r="FI33" t="e">
        <f>AND(#REF!,"AAAAAGDv9aQ=")</f>
        <v>#REF!</v>
      </c>
      <c r="FJ33" t="e">
        <f>AND(#REF!,"AAAAAGDv9aU=")</f>
        <v>#REF!</v>
      </c>
      <c r="FK33" t="e">
        <f>AND(#REF!,"AAAAAGDv9aY=")</f>
        <v>#REF!</v>
      </c>
      <c r="FL33" t="e">
        <f>AND(#REF!,"AAAAAGDv9ac=")</f>
        <v>#REF!</v>
      </c>
      <c r="FM33" t="e">
        <f>IF(#REF!,"AAAAAGDv9ag=",0)</f>
        <v>#REF!</v>
      </c>
      <c r="FN33" t="e">
        <f>AND(#REF!,"AAAAAGDv9ak=")</f>
        <v>#REF!</v>
      </c>
      <c r="FO33" t="e">
        <f>AND(#REF!,"AAAAAGDv9ao=")</f>
        <v>#REF!</v>
      </c>
      <c r="FP33" t="e">
        <f>AND(#REF!,"AAAAAGDv9as=")</f>
        <v>#REF!</v>
      </c>
      <c r="FQ33" t="e">
        <f>AND(#REF!,"AAAAAGDv9aw=")</f>
        <v>#REF!</v>
      </c>
      <c r="FR33" t="e">
        <f>AND(#REF!,"AAAAAGDv9a0=")</f>
        <v>#REF!</v>
      </c>
      <c r="FS33" t="e">
        <f>AND(#REF!,"AAAAAGDv9a4=")</f>
        <v>#REF!</v>
      </c>
      <c r="FT33" t="e">
        <f>AND(#REF!,"AAAAAGDv9a8=")</f>
        <v>#REF!</v>
      </c>
      <c r="FU33" t="e">
        <f>AND(#REF!,"AAAAAGDv9bA=")</f>
        <v>#REF!</v>
      </c>
      <c r="FV33" t="e">
        <f>AND(#REF!,"AAAAAGDv9bE=")</f>
        <v>#REF!</v>
      </c>
      <c r="FW33" t="e">
        <f>AND(#REF!,"AAAAAGDv9bI=")</f>
        <v>#REF!</v>
      </c>
      <c r="FX33" t="e">
        <f>AND(#REF!,"AAAAAGDv9bM=")</f>
        <v>#REF!</v>
      </c>
      <c r="FY33" t="e">
        <f>AND(#REF!,"AAAAAGDv9bQ=")</f>
        <v>#REF!</v>
      </c>
      <c r="FZ33" t="e">
        <f>AND(#REF!,"AAAAAGDv9bU=")</f>
        <v>#REF!</v>
      </c>
      <c r="GA33" t="e">
        <f>AND(#REF!,"AAAAAGDv9bY=")</f>
        <v>#REF!</v>
      </c>
      <c r="GB33" t="e">
        <f>AND(#REF!,"AAAAAGDv9bc=")</f>
        <v>#REF!</v>
      </c>
      <c r="GC33" t="e">
        <f>AND(#REF!,"AAAAAGDv9bg=")</f>
        <v>#REF!</v>
      </c>
      <c r="GD33" t="e">
        <f>AND(#REF!,"AAAAAGDv9bk=")</f>
        <v>#REF!</v>
      </c>
      <c r="GE33" t="e">
        <f>AND(#REF!,"AAAAAGDv9bo=")</f>
        <v>#REF!</v>
      </c>
      <c r="GF33" t="e">
        <f>AND(#REF!,"AAAAAGDv9bs=")</f>
        <v>#REF!</v>
      </c>
      <c r="GG33" t="e">
        <f>AND(#REF!,"AAAAAGDv9bw=")</f>
        <v>#REF!</v>
      </c>
      <c r="GH33" t="e">
        <f>IF(#REF!,"AAAAAGDv9b0=",0)</f>
        <v>#REF!</v>
      </c>
      <c r="GI33" t="e">
        <f>AND(#REF!,"AAAAAGDv9b4=")</f>
        <v>#REF!</v>
      </c>
      <c r="GJ33" t="e">
        <f>AND(#REF!,"AAAAAGDv9b8=")</f>
        <v>#REF!</v>
      </c>
      <c r="GK33" t="e">
        <f>AND(#REF!,"AAAAAGDv9cA=")</f>
        <v>#REF!</v>
      </c>
      <c r="GL33" t="e">
        <f>AND(#REF!,"AAAAAGDv9cE=")</f>
        <v>#REF!</v>
      </c>
      <c r="GM33" t="e">
        <f>AND(#REF!,"AAAAAGDv9cI=")</f>
        <v>#REF!</v>
      </c>
      <c r="GN33" t="e">
        <f>AND(#REF!,"AAAAAGDv9cM=")</f>
        <v>#REF!</v>
      </c>
      <c r="GO33" t="e">
        <f>AND(#REF!,"AAAAAGDv9cQ=")</f>
        <v>#REF!</v>
      </c>
      <c r="GP33" t="e">
        <f>AND(#REF!,"AAAAAGDv9cU=")</f>
        <v>#REF!</v>
      </c>
      <c r="GQ33" t="e">
        <f>AND(#REF!,"AAAAAGDv9cY=")</f>
        <v>#REF!</v>
      </c>
      <c r="GR33" t="e">
        <f>AND(#REF!,"AAAAAGDv9cc=")</f>
        <v>#REF!</v>
      </c>
      <c r="GS33" t="e">
        <f>AND(#REF!,"AAAAAGDv9cg=")</f>
        <v>#REF!</v>
      </c>
      <c r="GT33" t="e">
        <f>AND(#REF!,"AAAAAGDv9ck=")</f>
        <v>#REF!</v>
      </c>
      <c r="GU33" t="e">
        <f>AND(#REF!,"AAAAAGDv9co=")</f>
        <v>#REF!</v>
      </c>
      <c r="GV33" t="e">
        <f>AND(#REF!,"AAAAAGDv9cs=")</f>
        <v>#REF!</v>
      </c>
      <c r="GW33" t="e">
        <f>AND(#REF!,"AAAAAGDv9cw=")</f>
        <v>#REF!</v>
      </c>
      <c r="GX33" t="e">
        <f>AND(#REF!,"AAAAAGDv9c0=")</f>
        <v>#REF!</v>
      </c>
      <c r="GY33" t="e">
        <f>AND(#REF!,"AAAAAGDv9c4=")</f>
        <v>#REF!</v>
      </c>
      <c r="GZ33" t="e">
        <f>AND(#REF!,"AAAAAGDv9c8=")</f>
        <v>#REF!</v>
      </c>
      <c r="HA33" t="e">
        <f>AND(#REF!,"AAAAAGDv9dA=")</f>
        <v>#REF!</v>
      </c>
      <c r="HB33" t="e">
        <f>AND(#REF!,"AAAAAGDv9dE=")</f>
        <v>#REF!</v>
      </c>
      <c r="HC33" t="e">
        <f>IF(#REF!,"AAAAAGDv9dI=",0)</f>
        <v>#REF!</v>
      </c>
      <c r="HD33" t="e">
        <f>AND(#REF!,"AAAAAGDv9dM=")</f>
        <v>#REF!</v>
      </c>
      <c r="HE33" t="e">
        <f>AND(#REF!,"AAAAAGDv9dQ=")</f>
        <v>#REF!</v>
      </c>
      <c r="HF33" t="e">
        <f>AND(#REF!,"AAAAAGDv9dU=")</f>
        <v>#REF!</v>
      </c>
      <c r="HG33" t="e">
        <f>AND(#REF!,"AAAAAGDv9dY=")</f>
        <v>#REF!</v>
      </c>
      <c r="HH33" t="e">
        <f>AND(#REF!,"AAAAAGDv9dc=")</f>
        <v>#REF!</v>
      </c>
      <c r="HI33" t="e">
        <f>AND(#REF!,"AAAAAGDv9dg=")</f>
        <v>#REF!</v>
      </c>
      <c r="HJ33" t="e">
        <f>AND(#REF!,"AAAAAGDv9dk=")</f>
        <v>#REF!</v>
      </c>
      <c r="HK33" t="e">
        <f>AND(#REF!,"AAAAAGDv9do=")</f>
        <v>#REF!</v>
      </c>
      <c r="HL33" t="e">
        <f>AND(#REF!,"AAAAAGDv9ds=")</f>
        <v>#REF!</v>
      </c>
      <c r="HM33" t="e">
        <f>AND(#REF!,"AAAAAGDv9dw=")</f>
        <v>#REF!</v>
      </c>
      <c r="HN33" t="e">
        <f>AND(#REF!,"AAAAAGDv9d0=")</f>
        <v>#REF!</v>
      </c>
      <c r="HO33" t="e">
        <f>AND(#REF!,"AAAAAGDv9d4=")</f>
        <v>#REF!</v>
      </c>
      <c r="HP33" t="e">
        <f>AND(#REF!,"AAAAAGDv9d8=")</f>
        <v>#REF!</v>
      </c>
      <c r="HQ33" t="e">
        <f>AND(#REF!,"AAAAAGDv9eA=")</f>
        <v>#REF!</v>
      </c>
      <c r="HR33" t="e">
        <f>AND(#REF!,"AAAAAGDv9eE=")</f>
        <v>#REF!</v>
      </c>
      <c r="HS33" t="e">
        <f>AND(#REF!,"AAAAAGDv9eI=")</f>
        <v>#REF!</v>
      </c>
      <c r="HT33" t="e">
        <f>AND(#REF!,"AAAAAGDv9eM=")</f>
        <v>#REF!</v>
      </c>
      <c r="HU33" t="e">
        <f>AND(#REF!,"AAAAAGDv9eQ=")</f>
        <v>#REF!</v>
      </c>
      <c r="HV33" t="e">
        <f>AND(#REF!,"AAAAAGDv9eU=")</f>
        <v>#REF!</v>
      </c>
      <c r="HW33" t="e">
        <f>AND(#REF!,"AAAAAGDv9eY=")</f>
        <v>#REF!</v>
      </c>
      <c r="HX33" t="e">
        <f>IF(#REF!,"AAAAAGDv9ec=",0)</f>
        <v>#REF!</v>
      </c>
      <c r="HY33" t="e">
        <f>AND(#REF!,"AAAAAGDv9eg=")</f>
        <v>#REF!</v>
      </c>
      <c r="HZ33" t="e">
        <f>AND(#REF!,"AAAAAGDv9ek=")</f>
        <v>#REF!</v>
      </c>
      <c r="IA33" t="e">
        <f>AND(#REF!,"AAAAAGDv9eo=")</f>
        <v>#REF!</v>
      </c>
      <c r="IB33" t="e">
        <f>AND(#REF!,"AAAAAGDv9es=")</f>
        <v>#REF!</v>
      </c>
      <c r="IC33" t="e">
        <f>AND(#REF!,"AAAAAGDv9ew=")</f>
        <v>#REF!</v>
      </c>
      <c r="ID33" t="e">
        <f>AND(#REF!,"AAAAAGDv9e0=")</f>
        <v>#REF!</v>
      </c>
      <c r="IE33" t="e">
        <f>AND(#REF!,"AAAAAGDv9e4=")</f>
        <v>#REF!</v>
      </c>
      <c r="IF33" t="e">
        <f>AND(#REF!,"AAAAAGDv9e8=")</f>
        <v>#REF!</v>
      </c>
      <c r="IG33" t="e">
        <f>AND(#REF!,"AAAAAGDv9fA=")</f>
        <v>#REF!</v>
      </c>
      <c r="IH33" t="e">
        <f>AND(#REF!,"AAAAAGDv9fE=")</f>
        <v>#REF!</v>
      </c>
      <c r="II33" t="e">
        <f>AND(#REF!,"AAAAAGDv9fI=")</f>
        <v>#REF!</v>
      </c>
      <c r="IJ33" t="e">
        <f>AND(#REF!,"AAAAAGDv9fM=")</f>
        <v>#REF!</v>
      </c>
      <c r="IK33" t="e">
        <f>AND(#REF!,"AAAAAGDv9fQ=")</f>
        <v>#REF!</v>
      </c>
      <c r="IL33" t="e">
        <f>AND(#REF!,"AAAAAGDv9fU=")</f>
        <v>#REF!</v>
      </c>
      <c r="IM33" t="e">
        <f>AND(#REF!,"AAAAAGDv9fY=")</f>
        <v>#REF!</v>
      </c>
      <c r="IN33" t="e">
        <f>AND(#REF!,"AAAAAGDv9fc=")</f>
        <v>#REF!</v>
      </c>
      <c r="IO33" t="e">
        <f>AND(#REF!,"AAAAAGDv9fg=")</f>
        <v>#REF!</v>
      </c>
      <c r="IP33" t="e">
        <f>AND(#REF!,"AAAAAGDv9fk=")</f>
        <v>#REF!</v>
      </c>
      <c r="IQ33" t="e">
        <f>AND(#REF!,"AAAAAGDv9fo=")</f>
        <v>#REF!</v>
      </c>
      <c r="IR33" t="e">
        <f>AND(#REF!,"AAAAAGDv9fs=")</f>
        <v>#REF!</v>
      </c>
      <c r="IS33" t="e">
        <f>IF(#REF!,"AAAAAGDv9fw=",0)</f>
        <v>#REF!</v>
      </c>
      <c r="IT33" t="e">
        <f>AND(#REF!,"AAAAAGDv9f0=")</f>
        <v>#REF!</v>
      </c>
      <c r="IU33" t="e">
        <f>AND(#REF!,"AAAAAGDv9f4=")</f>
        <v>#REF!</v>
      </c>
      <c r="IV33" t="e">
        <f>AND(#REF!,"AAAAAGDv9f8=")</f>
        <v>#REF!</v>
      </c>
    </row>
    <row r="34" spans="1:256" x14ac:dyDescent="0.25">
      <c r="A34" t="e">
        <f>AND(#REF!,"AAAAAHvPmAA=")</f>
        <v>#REF!</v>
      </c>
      <c r="B34" t="e">
        <f>AND(#REF!,"AAAAAHvPmAE=")</f>
        <v>#REF!</v>
      </c>
      <c r="C34" t="e">
        <f>AND(#REF!,"AAAAAHvPmAI=")</f>
        <v>#REF!</v>
      </c>
      <c r="D34" t="e">
        <f>AND(#REF!,"AAAAAHvPmAM=")</f>
        <v>#REF!</v>
      </c>
      <c r="E34" t="e">
        <f>AND(#REF!,"AAAAAHvPmAQ=")</f>
        <v>#REF!</v>
      </c>
      <c r="F34" t="e">
        <f>AND(#REF!,"AAAAAHvPmAU=")</f>
        <v>#REF!</v>
      </c>
      <c r="G34" t="e">
        <f>AND(#REF!,"AAAAAHvPmAY=")</f>
        <v>#REF!</v>
      </c>
      <c r="H34" t="e">
        <f>AND(#REF!,"AAAAAHvPmAc=")</f>
        <v>#REF!</v>
      </c>
      <c r="I34" t="e">
        <f>AND(#REF!,"AAAAAHvPmAg=")</f>
        <v>#REF!</v>
      </c>
      <c r="J34" t="e">
        <f>AND(#REF!,"AAAAAHvPmAk=")</f>
        <v>#REF!</v>
      </c>
      <c r="K34" t="e">
        <f>AND(#REF!,"AAAAAHvPmAo=")</f>
        <v>#REF!</v>
      </c>
      <c r="L34" t="e">
        <f>AND(#REF!,"AAAAAHvPmAs=")</f>
        <v>#REF!</v>
      </c>
      <c r="M34" t="e">
        <f>AND(#REF!,"AAAAAHvPmAw=")</f>
        <v>#REF!</v>
      </c>
      <c r="N34" t="e">
        <f>AND(#REF!,"AAAAAHvPmA0=")</f>
        <v>#REF!</v>
      </c>
      <c r="O34" t="e">
        <f>AND(#REF!,"AAAAAHvPmA4=")</f>
        <v>#REF!</v>
      </c>
      <c r="P34" t="e">
        <f>AND(#REF!,"AAAAAHvPmA8=")</f>
        <v>#REF!</v>
      </c>
      <c r="Q34" t="e">
        <f>AND(#REF!,"AAAAAHvPmBA=")</f>
        <v>#REF!</v>
      </c>
      <c r="R34" t="e">
        <f>IF(#REF!,"AAAAAHvPmBE=",0)</f>
        <v>#REF!</v>
      </c>
      <c r="S34" t="e">
        <f>AND(#REF!,"AAAAAHvPmBI=")</f>
        <v>#REF!</v>
      </c>
      <c r="T34" t="e">
        <f>AND(#REF!,"AAAAAHvPmBM=")</f>
        <v>#REF!</v>
      </c>
      <c r="U34" t="e">
        <f>AND(#REF!,"AAAAAHvPmBQ=")</f>
        <v>#REF!</v>
      </c>
      <c r="V34" t="e">
        <f>AND(#REF!,"AAAAAHvPmBU=")</f>
        <v>#REF!</v>
      </c>
      <c r="W34" t="e">
        <f>AND(#REF!,"AAAAAHvPmBY=")</f>
        <v>#REF!</v>
      </c>
      <c r="X34" t="e">
        <f>AND(#REF!,"AAAAAHvPmBc=")</f>
        <v>#REF!</v>
      </c>
      <c r="Y34" t="e">
        <f>AND(#REF!,"AAAAAHvPmBg=")</f>
        <v>#REF!</v>
      </c>
      <c r="Z34" t="e">
        <f>AND(#REF!,"AAAAAHvPmBk=")</f>
        <v>#REF!</v>
      </c>
      <c r="AA34" t="e">
        <f>AND(#REF!,"AAAAAHvPmBo=")</f>
        <v>#REF!</v>
      </c>
      <c r="AB34" t="e">
        <f>AND(#REF!,"AAAAAHvPmBs=")</f>
        <v>#REF!</v>
      </c>
      <c r="AC34" t="e">
        <f>AND(#REF!,"AAAAAHvPmBw=")</f>
        <v>#REF!</v>
      </c>
      <c r="AD34" t="e">
        <f>AND(#REF!,"AAAAAHvPmB0=")</f>
        <v>#REF!</v>
      </c>
      <c r="AE34" t="e">
        <f>AND(#REF!,"AAAAAHvPmB4=")</f>
        <v>#REF!</v>
      </c>
      <c r="AF34" t="e">
        <f>AND(#REF!,"AAAAAHvPmB8=")</f>
        <v>#REF!</v>
      </c>
      <c r="AG34" t="e">
        <f>AND(#REF!,"AAAAAHvPmCA=")</f>
        <v>#REF!</v>
      </c>
      <c r="AH34" t="e">
        <f>AND(#REF!,"AAAAAHvPmCE=")</f>
        <v>#REF!</v>
      </c>
      <c r="AI34" t="e">
        <f>AND(#REF!,"AAAAAHvPmCI=")</f>
        <v>#REF!</v>
      </c>
      <c r="AJ34" t="e">
        <f>AND(#REF!,"AAAAAHvPmCM=")</f>
        <v>#REF!</v>
      </c>
      <c r="AK34" t="e">
        <f>AND(#REF!,"AAAAAHvPmCQ=")</f>
        <v>#REF!</v>
      </c>
      <c r="AL34" t="e">
        <f>AND(#REF!,"AAAAAHvPmCU=")</f>
        <v>#REF!</v>
      </c>
      <c r="AM34" t="e">
        <f>IF(#REF!,"AAAAAHvPmCY=",0)</f>
        <v>#REF!</v>
      </c>
      <c r="AN34" t="e">
        <f>AND(#REF!,"AAAAAHvPmCc=")</f>
        <v>#REF!</v>
      </c>
      <c r="AO34" t="e">
        <f>AND(#REF!,"AAAAAHvPmCg=")</f>
        <v>#REF!</v>
      </c>
      <c r="AP34" t="e">
        <f>AND(#REF!,"AAAAAHvPmCk=")</f>
        <v>#REF!</v>
      </c>
      <c r="AQ34" t="e">
        <f>AND(#REF!,"AAAAAHvPmCo=")</f>
        <v>#REF!</v>
      </c>
      <c r="AR34" t="e">
        <f>AND(#REF!,"AAAAAHvPmCs=")</f>
        <v>#REF!</v>
      </c>
      <c r="AS34" t="e">
        <f>AND(#REF!,"AAAAAHvPmCw=")</f>
        <v>#REF!</v>
      </c>
      <c r="AT34" t="e">
        <f>AND(#REF!,"AAAAAHvPmC0=")</f>
        <v>#REF!</v>
      </c>
      <c r="AU34" t="e">
        <f>AND(#REF!,"AAAAAHvPmC4=")</f>
        <v>#REF!</v>
      </c>
      <c r="AV34" t="e">
        <f>AND(#REF!,"AAAAAHvPmC8=")</f>
        <v>#REF!</v>
      </c>
      <c r="AW34" t="e">
        <f>AND(#REF!,"AAAAAHvPmDA=")</f>
        <v>#REF!</v>
      </c>
      <c r="AX34" t="e">
        <f>AND(#REF!,"AAAAAHvPmDE=")</f>
        <v>#REF!</v>
      </c>
      <c r="AY34" t="e">
        <f>AND(#REF!,"AAAAAHvPmDI=")</f>
        <v>#REF!</v>
      </c>
      <c r="AZ34" t="e">
        <f>AND(#REF!,"AAAAAHvPmDM=")</f>
        <v>#REF!</v>
      </c>
      <c r="BA34" t="e">
        <f>AND(#REF!,"AAAAAHvPmDQ=")</f>
        <v>#REF!</v>
      </c>
      <c r="BB34" t="e">
        <f>AND(#REF!,"AAAAAHvPmDU=")</f>
        <v>#REF!</v>
      </c>
      <c r="BC34" t="e">
        <f>AND(#REF!,"AAAAAHvPmDY=")</f>
        <v>#REF!</v>
      </c>
      <c r="BD34" t="e">
        <f>AND(#REF!,"AAAAAHvPmDc=")</f>
        <v>#REF!</v>
      </c>
      <c r="BE34" t="e">
        <f>AND(#REF!,"AAAAAHvPmDg=")</f>
        <v>#REF!</v>
      </c>
      <c r="BF34" t="e">
        <f>AND(#REF!,"AAAAAHvPmDk=")</f>
        <v>#REF!</v>
      </c>
      <c r="BG34" t="e">
        <f>AND(#REF!,"AAAAAHvPmDo=")</f>
        <v>#REF!</v>
      </c>
      <c r="BH34" t="e">
        <f>IF(#REF!,"AAAAAHvPmDs=",0)</f>
        <v>#REF!</v>
      </c>
      <c r="BI34" t="e">
        <f>AND(#REF!,"AAAAAHvPmDw=")</f>
        <v>#REF!</v>
      </c>
      <c r="BJ34" t="e">
        <f>AND(#REF!,"AAAAAHvPmD0=")</f>
        <v>#REF!</v>
      </c>
      <c r="BK34" t="e">
        <f>AND(#REF!,"AAAAAHvPmD4=")</f>
        <v>#REF!</v>
      </c>
      <c r="BL34" t="e">
        <f>AND(#REF!,"AAAAAHvPmD8=")</f>
        <v>#REF!</v>
      </c>
      <c r="BM34" t="e">
        <f>AND(#REF!,"AAAAAHvPmEA=")</f>
        <v>#REF!</v>
      </c>
      <c r="BN34" t="e">
        <f>AND(#REF!,"AAAAAHvPmEE=")</f>
        <v>#REF!</v>
      </c>
      <c r="BO34" t="e">
        <f>AND(#REF!,"AAAAAHvPmEI=")</f>
        <v>#REF!</v>
      </c>
      <c r="BP34" t="e">
        <f>AND(#REF!,"AAAAAHvPmEM=")</f>
        <v>#REF!</v>
      </c>
      <c r="BQ34" t="e">
        <f>AND(#REF!,"AAAAAHvPmEQ=")</f>
        <v>#REF!</v>
      </c>
      <c r="BR34" t="e">
        <f>AND(#REF!,"AAAAAHvPmEU=")</f>
        <v>#REF!</v>
      </c>
      <c r="BS34" t="e">
        <f>AND(#REF!,"AAAAAHvPmEY=")</f>
        <v>#REF!</v>
      </c>
      <c r="BT34" t="e">
        <f>AND(#REF!,"AAAAAHvPmEc=")</f>
        <v>#REF!</v>
      </c>
      <c r="BU34" t="e">
        <f>AND(#REF!,"AAAAAHvPmEg=")</f>
        <v>#REF!</v>
      </c>
      <c r="BV34" t="e">
        <f>AND(#REF!,"AAAAAHvPmEk=")</f>
        <v>#REF!</v>
      </c>
      <c r="BW34" t="e">
        <f>AND(#REF!,"AAAAAHvPmEo=")</f>
        <v>#REF!</v>
      </c>
      <c r="BX34" t="e">
        <f>AND(#REF!,"AAAAAHvPmEs=")</f>
        <v>#REF!</v>
      </c>
      <c r="BY34" t="e">
        <f>AND(#REF!,"AAAAAHvPmEw=")</f>
        <v>#REF!</v>
      </c>
      <c r="BZ34" t="e">
        <f>AND(#REF!,"AAAAAHvPmE0=")</f>
        <v>#REF!</v>
      </c>
      <c r="CA34" t="e">
        <f>AND(#REF!,"AAAAAHvPmE4=")</f>
        <v>#REF!</v>
      </c>
      <c r="CB34" t="e">
        <f>AND(#REF!,"AAAAAHvPmE8=")</f>
        <v>#REF!</v>
      </c>
      <c r="CC34" t="e">
        <f>IF(#REF!,"AAAAAHvPmFA=",0)</f>
        <v>#REF!</v>
      </c>
      <c r="CD34" t="e">
        <f>AND(#REF!,"AAAAAHvPmFE=")</f>
        <v>#REF!</v>
      </c>
      <c r="CE34" t="e">
        <f>AND(#REF!,"AAAAAHvPmFI=")</f>
        <v>#REF!</v>
      </c>
      <c r="CF34" t="e">
        <f>AND(#REF!,"AAAAAHvPmFM=")</f>
        <v>#REF!</v>
      </c>
      <c r="CG34" t="e">
        <f>AND(#REF!,"AAAAAHvPmFQ=")</f>
        <v>#REF!</v>
      </c>
      <c r="CH34" t="e">
        <f>AND(#REF!,"AAAAAHvPmFU=")</f>
        <v>#REF!</v>
      </c>
      <c r="CI34" t="e">
        <f>AND(#REF!,"AAAAAHvPmFY=")</f>
        <v>#REF!</v>
      </c>
      <c r="CJ34" t="e">
        <f>AND(#REF!,"AAAAAHvPmFc=")</f>
        <v>#REF!</v>
      </c>
      <c r="CK34" t="e">
        <f>AND(#REF!,"AAAAAHvPmFg=")</f>
        <v>#REF!</v>
      </c>
      <c r="CL34" t="e">
        <f>AND(#REF!,"AAAAAHvPmFk=")</f>
        <v>#REF!</v>
      </c>
      <c r="CM34" t="e">
        <f>AND(#REF!,"AAAAAHvPmFo=")</f>
        <v>#REF!</v>
      </c>
      <c r="CN34" t="e">
        <f>AND(#REF!,"AAAAAHvPmFs=")</f>
        <v>#REF!</v>
      </c>
      <c r="CO34" t="e">
        <f>AND(#REF!,"AAAAAHvPmFw=")</f>
        <v>#REF!</v>
      </c>
      <c r="CP34" t="e">
        <f>AND(#REF!,"AAAAAHvPmF0=")</f>
        <v>#REF!</v>
      </c>
      <c r="CQ34" t="e">
        <f>AND(#REF!,"AAAAAHvPmF4=")</f>
        <v>#REF!</v>
      </c>
      <c r="CR34" t="e">
        <f>AND(#REF!,"AAAAAHvPmF8=")</f>
        <v>#REF!</v>
      </c>
      <c r="CS34" t="e">
        <f>AND(#REF!,"AAAAAHvPmGA=")</f>
        <v>#REF!</v>
      </c>
      <c r="CT34" t="e">
        <f>AND(#REF!,"AAAAAHvPmGE=")</f>
        <v>#REF!</v>
      </c>
      <c r="CU34" t="e">
        <f>AND(#REF!,"AAAAAHvPmGI=")</f>
        <v>#REF!</v>
      </c>
      <c r="CV34" t="e">
        <f>AND(#REF!,"AAAAAHvPmGM=")</f>
        <v>#REF!</v>
      </c>
      <c r="CW34" t="e">
        <f>AND(#REF!,"AAAAAHvPmGQ=")</f>
        <v>#REF!</v>
      </c>
      <c r="CX34" t="e">
        <f>IF(#REF!,"AAAAAHvPmGU=",0)</f>
        <v>#REF!</v>
      </c>
      <c r="CY34" t="e">
        <f>AND(#REF!,"AAAAAHvPmGY=")</f>
        <v>#REF!</v>
      </c>
      <c r="CZ34" t="e">
        <f>AND(#REF!,"AAAAAHvPmGc=")</f>
        <v>#REF!</v>
      </c>
      <c r="DA34" t="e">
        <f>AND(#REF!,"AAAAAHvPmGg=")</f>
        <v>#REF!</v>
      </c>
      <c r="DB34" t="e">
        <f>AND(#REF!,"AAAAAHvPmGk=")</f>
        <v>#REF!</v>
      </c>
      <c r="DC34" t="e">
        <f>AND(#REF!,"AAAAAHvPmGo=")</f>
        <v>#REF!</v>
      </c>
      <c r="DD34" t="e">
        <f>AND(#REF!,"AAAAAHvPmGs=")</f>
        <v>#REF!</v>
      </c>
      <c r="DE34" t="e">
        <f>AND(#REF!,"AAAAAHvPmGw=")</f>
        <v>#REF!</v>
      </c>
      <c r="DF34" t="e">
        <f>AND(#REF!,"AAAAAHvPmG0=")</f>
        <v>#REF!</v>
      </c>
      <c r="DG34" t="e">
        <f>AND(#REF!,"AAAAAHvPmG4=")</f>
        <v>#REF!</v>
      </c>
      <c r="DH34" t="e">
        <f>AND(#REF!,"AAAAAHvPmG8=")</f>
        <v>#REF!</v>
      </c>
      <c r="DI34" t="e">
        <f>AND(#REF!,"AAAAAHvPmHA=")</f>
        <v>#REF!</v>
      </c>
      <c r="DJ34" t="e">
        <f>AND(#REF!,"AAAAAHvPmHE=")</f>
        <v>#REF!</v>
      </c>
      <c r="DK34" t="e">
        <f>AND(#REF!,"AAAAAHvPmHI=")</f>
        <v>#REF!</v>
      </c>
      <c r="DL34" t="e">
        <f>AND(#REF!,"AAAAAHvPmHM=")</f>
        <v>#REF!</v>
      </c>
      <c r="DM34" t="e">
        <f>AND(#REF!,"AAAAAHvPmHQ=")</f>
        <v>#REF!</v>
      </c>
      <c r="DN34" t="e">
        <f>AND(#REF!,"AAAAAHvPmHU=")</f>
        <v>#REF!</v>
      </c>
      <c r="DO34" t="e">
        <f>AND(#REF!,"AAAAAHvPmHY=")</f>
        <v>#REF!</v>
      </c>
      <c r="DP34" t="e">
        <f>AND(#REF!,"AAAAAHvPmHc=")</f>
        <v>#REF!</v>
      </c>
      <c r="DQ34" t="e">
        <f>AND(#REF!,"AAAAAHvPmHg=")</f>
        <v>#REF!</v>
      </c>
      <c r="DR34" t="e">
        <f>AND(#REF!,"AAAAAHvPmHk=")</f>
        <v>#REF!</v>
      </c>
      <c r="DS34" t="e">
        <f>IF(#REF!,"AAAAAHvPmHo=",0)</f>
        <v>#REF!</v>
      </c>
      <c r="DT34" t="e">
        <f>AND(#REF!,"AAAAAHvPmHs=")</f>
        <v>#REF!</v>
      </c>
      <c r="DU34" t="e">
        <f>AND(#REF!,"AAAAAHvPmHw=")</f>
        <v>#REF!</v>
      </c>
      <c r="DV34" t="e">
        <f>AND(#REF!,"AAAAAHvPmH0=")</f>
        <v>#REF!</v>
      </c>
      <c r="DW34" t="e">
        <f>AND(#REF!,"AAAAAHvPmH4=")</f>
        <v>#REF!</v>
      </c>
      <c r="DX34" t="e">
        <f>AND(#REF!,"AAAAAHvPmH8=")</f>
        <v>#REF!</v>
      </c>
      <c r="DY34" t="e">
        <f>AND(#REF!,"AAAAAHvPmIA=")</f>
        <v>#REF!</v>
      </c>
      <c r="DZ34" t="e">
        <f>AND(#REF!,"AAAAAHvPmIE=")</f>
        <v>#REF!</v>
      </c>
      <c r="EA34" t="e">
        <f>AND(#REF!,"AAAAAHvPmII=")</f>
        <v>#REF!</v>
      </c>
      <c r="EB34" t="e">
        <f>AND(#REF!,"AAAAAHvPmIM=")</f>
        <v>#REF!</v>
      </c>
      <c r="EC34" t="e">
        <f>AND(#REF!,"AAAAAHvPmIQ=")</f>
        <v>#REF!</v>
      </c>
      <c r="ED34" t="e">
        <f>AND(#REF!,"AAAAAHvPmIU=")</f>
        <v>#REF!</v>
      </c>
      <c r="EE34" t="e">
        <f>AND(#REF!,"AAAAAHvPmIY=")</f>
        <v>#REF!</v>
      </c>
      <c r="EF34" t="e">
        <f>AND(#REF!,"AAAAAHvPmIc=")</f>
        <v>#REF!</v>
      </c>
      <c r="EG34" t="e">
        <f>AND(#REF!,"AAAAAHvPmIg=")</f>
        <v>#REF!</v>
      </c>
      <c r="EH34" t="e">
        <f>AND(#REF!,"AAAAAHvPmIk=")</f>
        <v>#REF!</v>
      </c>
      <c r="EI34" t="e">
        <f>AND(#REF!,"AAAAAHvPmIo=")</f>
        <v>#REF!</v>
      </c>
      <c r="EJ34" t="e">
        <f>AND(#REF!,"AAAAAHvPmIs=")</f>
        <v>#REF!</v>
      </c>
      <c r="EK34" t="e">
        <f>AND(#REF!,"AAAAAHvPmIw=")</f>
        <v>#REF!</v>
      </c>
      <c r="EL34" t="e">
        <f>AND(#REF!,"AAAAAHvPmI0=")</f>
        <v>#REF!</v>
      </c>
      <c r="EM34" t="e">
        <f>AND(#REF!,"AAAAAHvPmI4=")</f>
        <v>#REF!</v>
      </c>
      <c r="EN34" t="e">
        <f>IF(#REF!,"AAAAAHvPmI8=",0)</f>
        <v>#REF!</v>
      </c>
      <c r="EO34" t="e">
        <f>AND(#REF!,"AAAAAHvPmJA=")</f>
        <v>#REF!</v>
      </c>
      <c r="EP34" t="e">
        <f>AND(#REF!,"AAAAAHvPmJE=")</f>
        <v>#REF!</v>
      </c>
      <c r="EQ34" t="e">
        <f>AND(#REF!,"AAAAAHvPmJI=")</f>
        <v>#REF!</v>
      </c>
      <c r="ER34" t="e">
        <f>AND(#REF!,"AAAAAHvPmJM=")</f>
        <v>#REF!</v>
      </c>
      <c r="ES34" t="e">
        <f>AND(#REF!,"AAAAAHvPmJQ=")</f>
        <v>#REF!</v>
      </c>
      <c r="ET34" t="e">
        <f>AND(#REF!,"AAAAAHvPmJU=")</f>
        <v>#REF!</v>
      </c>
      <c r="EU34" t="e">
        <f>AND(#REF!,"AAAAAHvPmJY=")</f>
        <v>#REF!</v>
      </c>
      <c r="EV34" t="e">
        <f>AND(#REF!,"AAAAAHvPmJc=")</f>
        <v>#REF!</v>
      </c>
      <c r="EW34" t="e">
        <f>AND(#REF!,"AAAAAHvPmJg=")</f>
        <v>#REF!</v>
      </c>
      <c r="EX34" t="e">
        <f>AND(#REF!,"AAAAAHvPmJk=")</f>
        <v>#REF!</v>
      </c>
      <c r="EY34" t="e">
        <f>AND(#REF!,"AAAAAHvPmJo=")</f>
        <v>#REF!</v>
      </c>
      <c r="EZ34" t="e">
        <f>AND(#REF!,"AAAAAHvPmJs=")</f>
        <v>#REF!</v>
      </c>
      <c r="FA34" t="e">
        <f>AND(#REF!,"AAAAAHvPmJw=")</f>
        <v>#REF!</v>
      </c>
      <c r="FB34" t="e">
        <f>AND(#REF!,"AAAAAHvPmJ0=")</f>
        <v>#REF!</v>
      </c>
      <c r="FC34" t="e">
        <f>AND(#REF!,"AAAAAHvPmJ4=")</f>
        <v>#REF!</v>
      </c>
      <c r="FD34" t="e">
        <f>AND(#REF!,"AAAAAHvPmJ8=")</f>
        <v>#REF!</v>
      </c>
      <c r="FE34" t="e">
        <f>AND(#REF!,"AAAAAHvPmKA=")</f>
        <v>#REF!</v>
      </c>
      <c r="FF34" t="e">
        <f>AND(#REF!,"AAAAAHvPmKE=")</f>
        <v>#REF!</v>
      </c>
      <c r="FG34" t="e">
        <f>AND(#REF!,"AAAAAHvPmKI=")</f>
        <v>#REF!</v>
      </c>
      <c r="FH34" t="e">
        <f>AND(#REF!,"AAAAAHvPmKM=")</f>
        <v>#REF!</v>
      </c>
      <c r="FI34" t="e">
        <f>IF(#REF!,"AAAAAHvPmKQ=",0)</f>
        <v>#REF!</v>
      </c>
      <c r="FJ34" t="e">
        <f>AND(#REF!,"AAAAAHvPmKU=")</f>
        <v>#REF!</v>
      </c>
      <c r="FK34" t="e">
        <f>AND(#REF!,"AAAAAHvPmKY=")</f>
        <v>#REF!</v>
      </c>
      <c r="FL34" t="e">
        <f>AND(#REF!,"AAAAAHvPmKc=")</f>
        <v>#REF!</v>
      </c>
      <c r="FM34" t="e">
        <f>AND(#REF!,"AAAAAHvPmKg=")</f>
        <v>#REF!</v>
      </c>
      <c r="FN34" t="e">
        <f>AND(#REF!,"AAAAAHvPmKk=")</f>
        <v>#REF!</v>
      </c>
      <c r="FO34" t="e">
        <f>AND(#REF!,"AAAAAHvPmKo=")</f>
        <v>#REF!</v>
      </c>
      <c r="FP34" t="e">
        <f>AND(#REF!,"AAAAAHvPmKs=")</f>
        <v>#REF!</v>
      </c>
      <c r="FQ34" t="e">
        <f>AND(#REF!,"AAAAAHvPmKw=")</f>
        <v>#REF!</v>
      </c>
      <c r="FR34" t="e">
        <f>AND(#REF!,"AAAAAHvPmK0=")</f>
        <v>#REF!</v>
      </c>
      <c r="FS34" t="e">
        <f>AND(#REF!,"AAAAAHvPmK4=")</f>
        <v>#REF!</v>
      </c>
      <c r="FT34" t="e">
        <f>AND(#REF!,"AAAAAHvPmK8=")</f>
        <v>#REF!</v>
      </c>
      <c r="FU34" t="e">
        <f>AND(#REF!,"AAAAAHvPmLA=")</f>
        <v>#REF!</v>
      </c>
      <c r="FV34" t="e">
        <f>AND(#REF!,"AAAAAHvPmLE=")</f>
        <v>#REF!</v>
      </c>
      <c r="FW34" t="e">
        <f>AND(#REF!,"AAAAAHvPmLI=")</f>
        <v>#REF!</v>
      </c>
      <c r="FX34" t="e">
        <f>AND(#REF!,"AAAAAHvPmLM=")</f>
        <v>#REF!</v>
      </c>
      <c r="FY34" t="e">
        <f>AND(#REF!,"AAAAAHvPmLQ=")</f>
        <v>#REF!</v>
      </c>
      <c r="FZ34" t="e">
        <f>AND(#REF!,"AAAAAHvPmLU=")</f>
        <v>#REF!</v>
      </c>
      <c r="GA34" t="e">
        <f>AND(#REF!,"AAAAAHvPmLY=")</f>
        <v>#REF!</v>
      </c>
      <c r="GB34" t="e">
        <f>AND(#REF!,"AAAAAHvPmLc=")</f>
        <v>#REF!</v>
      </c>
      <c r="GC34" t="e">
        <f>AND(#REF!,"AAAAAHvPmLg=")</f>
        <v>#REF!</v>
      </c>
      <c r="GD34" t="e">
        <f>IF(#REF!,"AAAAAHvPmLk=",0)</f>
        <v>#REF!</v>
      </c>
      <c r="GE34" t="e">
        <f>AND(#REF!,"AAAAAHvPmLo=")</f>
        <v>#REF!</v>
      </c>
      <c r="GF34" t="e">
        <f>AND(#REF!,"AAAAAHvPmLs=")</f>
        <v>#REF!</v>
      </c>
      <c r="GG34" t="e">
        <f>AND(#REF!,"AAAAAHvPmLw=")</f>
        <v>#REF!</v>
      </c>
      <c r="GH34" t="e">
        <f>AND(#REF!,"AAAAAHvPmL0=")</f>
        <v>#REF!</v>
      </c>
      <c r="GI34" t="e">
        <f>AND(#REF!,"AAAAAHvPmL4=")</f>
        <v>#REF!</v>
      </c>
      <c r="GJ34" t="e">
        <f>AND(#REF!,"AAAAAHvPmL8=")</f>
        <v>#REF!</v>
      </c>
      <c r="GK34" t="e">
        <f>AND(#REF!,"AAAAAHvPmMA=")</f>
        <v>#REF!</v>
      </c>
      <c r="GL34" t="e">
        <f>AND(#REF!,"AAAAAHvPmME=")</f>
        <v>#REF!</v>
      </c>
      <c r="GM34" t="e">
        <f>AND(#REF!,"AAAAAHvPmMI=")</f>
        <v>#REF!</v>
      </c>
      <c r="GN34" t="e">
        <f>AND(#REF!,"AAAAAHvPmMM=")</f>
        <v>#REF!</v>
      </c>
      <c r="GO34" t="e">
        <f>AND(#REF!,"AAAAAHvPmMQ=")</f>
        <v>#REF!</v>
      </c>
      <c r="GP34" t="e">
        <f>AND(#REF!,"AAAAAHvPmMU=")</f>
        <v>#REF!</v>
      </c>
      <c r="GQ34" t="e">
        <f>AND(#REF!,"AAAAAHvPmMY=")</f>
        <v>#REF!</v>
      </c>
      <c r="GR34" t="e">
        <f>AND(#REF!,"AAAAAHvPmMc=")</f>
        <v>#REF!</v>
      </c>
      <c r="GS34" t="e">
        <f>AND(#REF!,"AAAAAHvPmMg=")</f>
        <v>#REF!</v>
      </c>
      <c r="GT34" t="e">
        <f>AND(#REF!,"AAAAAHvPmMk=")</f>
        <v>#REF!</v>
      </c>
      <c r="GU34" t="e">
        <f>AND(#REF!,"AAAAAHvPmMo=")</f>
        <v>#REF!</v>
      </c>
      <c r="GV34" t="e">
        <f>AND(#REF!,"AAAAAHvPmMs=")</f>
        <v>#REF!</v>
      </c>
      <c r="GW34" t="e">
        <f>AND(#REF!,"AAAAAHvPmMw=")</f>
        <v>#REF!</v>
      </c>
      <c r="GX34" t="e">
        <f>AND(#REF!,"AAAAAHvPmM0=")</f>
        <v>#REF!</v>
      </c>
      <c r="GY34" t="e">
        <f>IF(#REF!,"AAAAAHvPmM4=",0)</f>
        <v>#REF!</v>
      </c>
      <c r="GZ34" t="e">
        <f>AND(#REF!,"AAAAAHvPmM8=")</f>
        <v>#REF!</v>
      </c>
      <c r="HA34" t="e">
        <f>AND(#REF!,"AAAAAHvPmNA=")</f>
        <v>#REF!</v>
      </c>
      <c r="HB34" t="e">
        <f>AND(#REF!,"AAAAAHvPmNE=")</f>
        <v>#REF!</v>
      </c>
      <c r="HC34" t="e">
        <f>AND(#REF!,"AAAAAHvPmNI=")</f>
        <v>#REF!</v>
      </c>
      <c r="HD34" t="e">
        <f>AND(#REF!,"AAAAAHvPmNM=")</f>
        <v>#REF!</v>
      </c>
      <c r="HE34" t="e">
        <f>AND(#REF!,"AAAAAHvPmNQ=")</f>
        <v>#REF!</v>
      </c>
      <c r="HF34" t="e">
        <f>AND(#REF!,"AAAAAHvPmNU=")</f>
        <v>#REF!</v>
      </c>
      <c r="HG34" t="e">
        <f>AND(#REF!,"AAAAAHvPmNY=")</f>
        <v>#REF!</v>
      </c>
      <c r="HH34" t="e">
        <f>AND(#REF!,"AAAAAHvPmNc=")</f>
        <v>#REF!</v>
      </c>
      <c r="HI34" t="e">
        <f>AND(#REF!,"AAAAAHvPmNg=")</f>
        <v>#REF!</v>
      </c>
      <c r="HJ34" t="e">
        <f>AND(#REF!,"AAAAAHvPmNk=")</f>
        <v>#REF!</v>
      </c>
      <c r="HK34" t="e">
        <f>AND(#REF!,"AAAAAHvPmNo=")</f>
        <v>#REF!</v>
      </c>
      <c r="HL34" t="e">
        <f>AND(#REF!,"AAAAAHvPmNs=")</f>
        <v>#REF!</v>
      </c>
      <c r="HM34" t="e">
        <f>AND(#REF!,"AAAAAHvPmNw=")</f>
        <v>#REF!</v>
      </c>
      <c r="HN34" t="e">
        <f>AND(#REF!,"AAAAAHvPmN0=")</f>
        <v>#REF!</v>
      </c>
      <c r="HO34" t="e">
        <f>AND(#REF!,"AAAAAHvPmN4=")</f>
        <v>#REF!</v>
      </c>
      <c r="HP34" t="e">
        <f>AND(#REF!,"AAAAAHvPmN8=")</f>
        <v>#REF!</v>
      </c>
      <c r="HQ34" t="e">
        <f>AND(#REF!,"AAAAAHvPmOA=")</f>
        <v>#REF!</v>
      </c>
      <c r="HR34" t="e">
        <f>AND(#REF!,"AAAAAHvPmOE=")</f>
        <v>#REF!</v>
      </c>
      <c r="HS34" t="e">
        <f>AND(#REF!,"AAAAAHvPmOI=")</f>
        <v>#REF!</v>
      </c>
      <c r="HT34" t="e">
        <f>IF(#REF!,"AAAAAHvPmOM=",0)</f>
        <v>#REF!</v>
      </c>
      <c r="HU34" t="e">
        <f>AND(#REF!,"AAAAAHvPmOQ=")</f>
        <v>#REF!</v>
      </c>
      <c r="HV34" t="e">
        <f>AND(#REF!,"AAAAAHvPmOU=")</f>
        <v>#REF!</v>
      </c>
      <c r="HW34" t="e">
        <f>AND(#REF!,"AAAAAHvPmOY=")</f>
        <v>#REF!</v>
      </c>
      <c r="HX34" t="e">
        <f>AND(#REF!,"AAAAAHvPmOc=")</f>
        <v>#REF!</v>
      </c>
      <c r="HY34" t="e">
        <f>AND(#REF!,"AAAAAHvPmOg=")</f>
        <v>#REF!</v>
      </c>
      <c r="HZ34" t="e">
        <f>AND(#REF!,"AAAAAHvPmOk=")</f>
        <v>#REF!</v>
      </c>
      <c r="IA34" t="e">
        <f>AND(#REF!,"AAAAAHvPmOo=")</f>
        <v>#REF!</v>
      </c>
      <c r="IB34" t="e">
        <f>AND(#REF!,"AAAAAHvPmOs=")</f>
        <v>#REF!</v>
      </c>
      <c r="IC34" t="e">
        <f>AND(#REF!,"AAAAAHvPmOw=")</f>
        <v>#REF!</v>
      </c>
      <c r="ID34" t="e">
        <f>AND(#REF!,"AAAAAHvPmO0=")</f>
        <v>#REF!</v>
      </c>
      <c r="IE34" t="e">
        <f>AND(#REF!,"AAAAAHvPmO4=")</f>
        <v>#REF!</v>
      </c>
      <c r="IF34" t="e">
        <f>AND(#REF!,"AAAAAHvPmO8=")</f>
        <v>#REF!</v>
      </c>
      <c r="IG34" t="e">
        <f>AND(#REF!,"AAAAAHvPmPA=")</f>
        <v>#REF!</v>
      </c>
      <c r="IH34" t="e">
        <f>AND(#REF!,"AAAAAHvPmPE=")</f>
        <v>#REF!</v>
      </c>
      <c r="II34" t="e">
        <f>AND(#REF!,"AAAAAHvPmPI=")</f>
        <v>#REF!</v>
      </c>
      <c r="IJ34" t="e">
        <f>AND(#REF!,"AAAAAHvPmPM=")</f>
        <v>#REF!</v>
      </c>
      <c r="IK34" t="e">
        <f>AND(#REF!,"AAAAAHvPmPQ=")</f>
        <v>#REF!</v>
      </c>
      <c r="IL34" t="e">
        <f>AND(#REF!,"AAAAAHvPmPU=")</f>
        <v>#REF!</v>
      </c>
      <c r="IM34" t="e">
        <f>AND(#REF!,"AAAAAHvPmPY=")</f>
        <v>#REF!</v>
      </c>
      <c r="IN34" t="e">
        <f>AND(#REF!,"AAAAAHvPmPc=")</f>
        <v>#REF!</v>
      </c>
      <c r="IO34" t="e">
        <f>IF(#REF!,"AAAAAHvPmPg=",0)</f>
        <v>#REF!</v>
      </c>
      <c r="IP34" t="e">
        <f>AND(#REF!,"AAAAAHvPmPk=")</f>
        <v>#REF!</v>
      </c>
      <c r="IQ34" t="e">
        <f>AND(#REF!,"AAAAAHvPmPo=")</f>
        <v>#REF!</v>
      </c>
      <c r="IR34" t="e">
        <f>AND(#REF!,"AAAAAHvPmPs=")</f>
        <v>#REF!</v>
      </c>
      <c r="IS34" t="e">
        <f>AND(#REF!,"AAAAAHvPmPw=")</f>
        <v>#REF!</v>
      </c>
      <c r="IT34" t="e">
        <f>AND(#REF!,"AAAAAHvPmP0=")</f>
        <v>#REF!</v>
      </c>
      <c r="IU34" t="e">
        <f>AND(#REF!,"AAAAAHvPmP4=")</f>
        <v>#REF!</v>
      </c>
      <c r="IV34" t="e">
        <f>AND(#REF!,"AAAAAHvPmP8=")</f>
        <v>#REF!</v>
      </c>
    </row>
    <row r="35" spans="1:256" x14ac:dyDescent="0.25">
      <c r="A35" t="e">
        <f>AND(#REF!,"AAAAAHfa9wA=")</f>
        <v>#REF!</v>
      </c>
      <c r="B35" t="e">
        <f>AND(#REF!,"AAAAAHfa9wE=")</f>
        <v>#REF!</v>
      </c>
      <c r="C35" t="e">
        <f>AND(#REF!,"AAAAAHfa9wI=")</f>
        <v>#REF!</v>
      </c>
      <c r="D35" t="e">
        <f>AND(#REF!,"AAAAAHfa9wM=")</f>
        <v>#REF!</v>
      </c>
      <c r="E35" t="e">
        <f>AND(#REF!,"AAAAAHfa9wQ=")</f>
        <v>#REF!</v>
      </c>
      <c r="F35" t="e">
        <f>AND(#REF!,"AAAAAHfa9wU=")</f>
        <v>#REF!</v>
      </c>
      <c r="G35" t="e">
        <f>AND(#REF!,"AAAAAHfa9wY=")</f>
        <v>#REF!</v>
      </c>
      <c r="H35" t="e">
        <f>AND(#REF!,"AAAAAHfa9wc=")</f>
        <v>#REF!</v>
      </c>
      <c r="I35" t="e">
        <f>AND(#REF!,"AAAAAHfa9wg=")</f>
        <v>#REF!</v>
      </c>
      <c r="J35" t="e">
        <f>AND(#REF!,"AAAAAHfa9wk=")</f>
        <v>#REF!</v>
      </c>
      <c r="K35" t="e">
        <f>AND(#REF!,"AAAAAHfa9wo=")</f>
        <v>#REF!</v>
      </c>
      <c r="L35" t="e">
        <f>AND(#REF!,"AAAAAHfa9ws=")</f>
        <v>#REF!</v>
      </c>
      <c r="M35" t="e">
        <f>AND(#REF!,"AAAAAHfa9ww=")</f>
        <v>#REF!</v>
      </c>
      <c r="N35" t="e">
        <f>IF(#REF!,"AAAAAHfa9w0=",0)</f>
        <v>#REF!</v>
      </c>
      <c r="O35" t="e">
        <f>AND(#REF!,"AAAAAHfa9w4=")</f>
        <v>#REF!</v>
      </c>
      <c r="P35" t="e">
        <f>AND(#REF!,"AAAAAHfa9w8=")</f>
        <v>#REF!</v>
      </c>
      <c r="Q35" t="e">
        <f>AND(#REF!,"AAAAAHfa9xA=")</f>
        <v>#REF!</v>
      </c>
      <c r="R35" t="e">
        <f>AND(#REF!,"AAAAAHfa9xE=")</f>
        <v>#REF!</v>
      </c>
      <c r="S35" t="e">
        <f>AND(#REF!,"AAAAAHfa9xI=")</f>
        <v>#REF!</v>
      </c>
      <c r="T35" t="e">
        <f>AND(#REF!,"AAAAAHfa9xM=")</f>
        <v>#REF!</v>
      </c>
      <c r="U35" t="e">
        <f>AND(#REF!,"AAAAAHfa9xQ=")</f>
        <v>#REF!</v>
      </c>
      <c r="V35" t="e">
        <f>AND(#REF!,"AAAAAHfa9xU=")</f>
        <v>#REF!</v>
      </c>
      <c r="W35" t="e">
        <f>AND(#REF!,"AAAAAHfa9xY=")</f>
        <v>#REF!</v>
      </c>
      <c r="X35" t="e">
        <f>AND(#REF!,"AAAAAHfa9xc=")</f>
        <v>#REF!</v>
      </c>
      <c r="Y35" t="e">
        <f>AND(#REF!,"AAAAAHfa9xg=")</f>
        <v>#REF!</v>
      </c>
      <c r="Z35" t="e">
        <f>AND(#REF!,"AAAAAHfa9xk=")</f>
        <v>#REF!</v>
      </c>
      <c r="AA35" t="e">
        <f>AND(#REF!,"AAAAAHfa9xo=")</f>
        <v>#REF!</v>
      </c>
      <c r="AB35" t="e">
        <f>AND(#REF!,"AAAAAHfa9xs=")</f>
        <v>#REF!</v>
      </c>
      <c r="AC35" t="e">
        <f>AND(#REF!,"AAAAAHfa9xw=")</f>
        <v>#REF!</v>
      </c>
      <c r="AD35" t="e">
        <f>AND(#REF!,"AAAAAHfa9x0=")</f>
        <v>#REF!</v>
      </c>
      <c r="AE35" t="e">
        <f>AND(#REF!,"AAAAAHfa9x4=")</f>
        <v>#REF!</v>
      </c>
      <c r="AF35" t="e">
        <f>AND(#REF!,"AAAAAHfa9x8=")</f>
        <v>#REF!</v>
      </c>
      <c r="AG35" t="e">
        <f>AND(#REF!,"AAAAAHfa9yA=")</f>
        <v>#REF!</v>
      </c>
      <c r="AH35" t="e">
        <f>AND(#REF!,"AAAAAHfa9yE=")</f>
        <v>#REF!</v>
      </c>
      <c r="AI35" t="e">
        <f>IF(#REF!,"AAAAAHfa9yI=",0)</f>
        <v>#REF!</v>
      </c>
      <c r="AJ35" t="e">
        <f>AND(#REF!,"AAAAAHfa9yM=")</f>
        <v>#REF!</v>
      </c>
      <c r="AK35" t="e">
        <f>AND(#REF!,"AAAAAHfa9yQ=")</f>
        <v>#REF!</v>
      </c>
      <c r="AL35" t="e">
        <f>AND(#REF!,"AAAAAHfa9yU=")</f>
        <v>#REF!</v>
      </c>
      <c r="AM35" t="e">
        <f>AND(#REF!,"AAAAAHfa9yY=")</f>
        <v>#REF!</v>
      </c>
      <c r="AN35" t="e">
        <f>AND(#REF!,"AAAAAHfa9yc=")</f>
        <v>#REF!</v>
      </c>
      <c r="AO35" t="e">
        <f>AND(#REF!,"AAAAAHfa9yg=")</f>
        <v>#REF!</v>
      </c>
      <c r="AP35" t="e">
        <f>AND(#REF!,"AAAAAHfa9yk=")</f>
        <v>#REF!</v>
      </c>
      <c r="AQ35" t="e">
        <f>AND(#REF!,"AAAAAHfa9yo=")</f>
        <v>#REF!</v>
      </c>
      <c r="AR35" t="e">
        <f>AND(#REF!,"AAAAAHfa9ys=")</f>
        <v>#REF!</v>
      </c>
      <c r="AS35" t="e">
        <f>AND(#REF!,"AAAAAHfa9yw=")</f>
        <v>#REF!</v>
      </c>
      <c r="AT35" t="e">
        <f>AND(#REF!,"AAAAAHfa9y0=")</f>
        <v>#REF!</v>
      </c>
      <c r="AU35" t="e">
        <f>AND(#REF!,"AAAAAHfa9y4=")</f>
        <v>#REF!</v>
      </c>
      <c r="AV35" t="e">
        <f>AND(#REF!,"AAAAAHfa9y8=")</f>
        <v>#REF!</v>
      </c>
      <c r="AW35" t="e">
        <f>AND(#REF!,"AAAAAHfa9zA=")</f>
        <v>#REF!</v>
      </c>
      <c r="AX35" t="e">
        <f>AND(#REF!,"AAAAAHfa9zE=")</f>
        <v>#REF!</v>
      </c>
      <c r="AY35" t="e">
        <f>AND(#REF!,"AAAAAHfa9zI=")</f>
        <v>#REF!</v>
      </c>
      <c r="AZ35" t="e">
        <f>AND(#REF!,"AAAAAHfa9zM=")</f>
        <v>#REF!</v>
      </c>
      <c r="BA35" t="e">
        <f>AND(#REF!,"AAAAAHfa9zQ=")</f>
        <v>#REF!</v>
      </c>
      <c r="BB35" t="e">
        <f>AND(#REF!,"AAAAAHfa9zU=")</f>
        <v>#REF!</v>
      </c>
      <c r="BC35" t="e">
        <f>AND(#REF!,"AAAAAHfa9zY=")</f>
        <v>#REF!</v>
      </c>
      <c r="BD35" t="e">
        <f>IF(#REF!,"AAAAAHfa9zc=",0)</f>
        <v>#REF!</v>
      </c>
      <c r="BE35" t="e">
        <f>AND(#REF!,"AAAAAHfa9zg=")</f>
        <v>#REF!</v>
      </c>
      <c r="BF35" t="e">
        <f>AND(#REF!,"AAAAAHfa9zk=")</f>
        <v>#REF!</v>
      </c>
      <c r="BG35" t="e">
        <f>AND(#REF!,"AAAAAHfa9zo=")</f>
        <v>#REF!</v>
      </c>
      <c r="BH35" t="e">
        <f>AND(#REF!,"AAAAAHfa9zs=")</f>
        <v>#REF!</v>
      </c>
      <c r="BI35" t="e">
        <f>AND(#REF!,"AAAAAHfa9zw=")</f>
        <v>#REF!</v>
      </c>
      <c r="BJ35" t="e">
        <f>AND(#REF!,"AAAAAHfa9z0=")</f>
        <v>#REF!</v>
      </c>
      <c r="BK35" t="e">
        <f>AND(#REF!,"AAAAAHfa9z4=")</f>
        <v>#REF!</v>
      </c>
      <c r="BL35" t="e">
        <f>AND(#REF!,"AAAAAHfa9z8=")</f>
        <v>#REF!</v>
      </c>
      <c r="BM35" t="e">
        <f>AND(#REF!,"AAAAAHfa90A=")</f>
        <v>#REF!</v>
      </c>
      <c r="BN35" t="e">
        <f>AND(#REF!,"AAAAAHfa90E=")</f>
        <v>#REF!</v>
      </c>
      <c r="BO35" t="e">
        <f>AND(#REF!,"AAAAAHfa90I=")</f>
        <v>#REF!</v>
      </c>
      <c r="BP35" t="e">
        <f>AND(#REF!,"AAAAAHfa90M=")</f>
        <v>#REF!</v>
      </c>
      <c r="BQ35" t="e">
        <f>AND(#REF!,"AAAAAHfa90Q=")</f>
        <v>#REF!</v>
      </c>
      <c r="BR35" t="e">
        <f>AND(#REF!,"AAAAAHfa90U=")</f>
        <v>#REF!</v>
      </c>
      <c r="BS35" t="e">
        <f>AND(#REF!,"AAAAAHfa90Y=")</f>
        <v>#REF!</v>
      </c>
      <c r="BT35" t="e">
        <f>AND(#REF!,"AAAAAHfa90c=")</f>
        <v>#REF!</v>
      </c>
      <c r="BU35" t="e">
        <f>AND(#REF!,"AAAAAHfa90g=")</f>
        <v>#REF!</v>
      </c>
      <c r="BV35" t="e">
        <f>AND(#REF!,"AAAAAHfa90k=")</f>
        <v>#REF!</v>
      </c>
      <c r="BW35" t="e">
        <f>AND(#REF!,"AAAAAHfa90o=")</f>
        <v>#REF!</v>
      </c>
      <c r="BX35" t="e">
        <f>AND(#REF!,"AAAAAHfa90s=")</f>
        <v>#REF!</v>
      </c>
      <c r="BY35" t="e">
        <f>IF(#REF!,"AAAAAHfa90w=",0)</f>
        <v>#REF!</v>
      </c>
      <c r="BZ35" t="e">
        <f>AND(#REF!,"AAAAAHfa900=")</f>
        <v>#REF!</v>
      </c>
      <c r="CA35" t="e">
        <f>AND(#REF!,"AAAAAHfa904=")</f>
        <v>#REF!</v>
      </c>
      <c r="CB35" t="e">
        <f>AND(#REF!,"AAAAAHfa908=")</f>
        <v>#REF!</v>
      </c>
      <c r="CC35" t="e">
        <f>AND(#REF!,"AAAAAHfa91A=")</f>
        <v>#REF!</v>
      </c>
      <c r="CD35" t="e">
        <f>AND(#REF!,"AAAAAHfa91E=")</f>
        <v>#REF!</v>
      </c>
      <c r="CE35" t="e">
        <f>AND(#REF!,"AAAAAHfa91I=")</f>
        <v>#REF!</v>
      </c>
      <c r="CF35" t="e">
        <f>AND(#REF!,"AAAAAHfa91M=")</f>
        <v>#REF!</v>
      </c>
      <c r="CG35" t="e">
        <f>AND(#REF!,"AAAAAHfa91Q=")</f>
        <v>#REF!</v>
      </c>
      <c r="CH35" t="e">
        <f>AND(#REF!,"AAAAAHfa91U=")</f>
        <v>#REF!</v>
      </c>
      <c r="CI35" t="e">
        <f>AND(#REF!,"AAAAAHfa91Y=")</f>
        <v>#REF!</v>
      </c>
      <c r="CJ35" t="e">
        <f>AND(#REF!,"AAAAAHfa91c=")</f>
        <v>#REF!</v>
      </c>
      <c r="CK35" t="e">
        <f>AND(#REF!,"AAAAAHfa91g=")</f>
        <v>#REF!</v>
      </c>
      <c r="CL35" t="e">
        <f>AND(#REF!,"AAAAAHfa91k=")</f>
        <v>#REF!</v>
      </c>
      <c r="CM35" t="e">
        <f>AND(#REF!,"AAAAAHfa91o=")</f>
        <v>#REF!</v>
      </c>
      <c r="CN35" t="e">
        <f>AND(#REF!,"AAAAAHfa91s=")</f>
        <v>#REF!</v>
      </c>
      <c r="CO35" t="e">
        <f>AND(#REF!,"AAAAAHfa91w=")</f>
        <v>#REF!</v>
      </c>
      <c r="CP35" t="e">
        <f>AND(#REF!,"AAAAAHfa910=")</f>
        <v>#REF!</v>
      </c>
      <c r="CQ35" t="e">
        <f>AND(#REF!,"AAAAAHfa914=")</f>
        <v>#REF!</v>
      </c>
      <c r="CR35" t="e">
        <f>AND(#REF!,"AAAAAHfa918=")</f>
        <v>#REF!</v>
      </c>
      <c r="CS35" t="e">
        <f>AND(#REF!,"AAAAAHfa92A=")</f>
        <v>#REF!</v>
      </c>
      <c r="CT35" t="e">
        <f>IF(#REF!,"AAAAAHfa92E=",0)</f>
        <v>#REF!</v>
      </c>
      <c r="CU35" t="e">
        <f>AND(#REF!,"AAAAAHfa92I=")</f>
        <v>#REF!</v>
      </c>
      <c r="CV35" t="e">
        <f>AND(#REF!,"AAAAAHfa92M=")</f>
        <v>#REF!</v>
      </c>
      <c r="CW35" t="e">
        <f>AND(#REF!,"AAAAAHfa92Q=")</f>
        <v>#REF!</v>
      </c>
      <c r="CX35" t="e">
        <f>AND(#REF!,"AAAAAHfa92U=")</f>
        <v>#REF!</v>
      </c>
      <c r="CY35" t="e">
        <f>AND(#REF!,"AAAAAHfa92Y=")</f>
        <v>#REF!</v>
      </c>
      <c r="CZ35" t="e">
        <f>AND(#REF!,"AAAAAHfa92c=")</f>
        <v>#REF!</v>
      </c>
      <c r="DA35" t="e">
        <f>AND(#REF!,"AAAAAHfa92g=")</f>
        <v>#REF!</v>
      </c>
      <c r="DB35" t="e">
        <f>AND(#REF!,"AAAAAHfa92k=")</f>
        <v>#REF!</v>
      </c>
      <c r="DC35" t="e">
        <f>AND(#REF!,"AAAAAHfa92o=")</f>
        <v>#REF!</v>
      </c>
      <c r="DD35" t="e">
        <f>AND(#REF!,"AAAAAHfa92s=")</f>
        <v>#REF!</v>
      </c>
      <c r="DE35" t="e">
        <f>AND(#REF!,"AAAAAHfa92w=")</f>
        <v>#REF!</v>
      </c>
      <c r="DF35" t="e">
        <f>AND(#REF!,"AAAAAHfa920=")</f>
        <v>#REF!</v>
      </c>
      <c r="DG35" t="e">
        <f>AND(#REF!,"AAAAAHfa924=")</f>
        <v>#REF!</v>
      </c>
      <c r="DH35" t="e">
        <f>AND(#REF!,"AAAAAHfa928=")</f>
        <v>#REF!</v>
      </c>
      <c r="DI35" t="e">
        <f>AND(#REF!,"AAAAAHfa93A=")</f>
        <v>#REF!</v>
      </c>
      <c r="DJ35" t="e">
        <f>AND(#REF!,"AAAAAHfa93E=")</f>
        <v>#REF!</v>
      </c>
      <c r="DK35" t="e">
        <f>AND(#REF!,"AAAAAHfa93I=")</f>
        <v>#REF!</v>
      </c>
      <c r="DL35" t="e">
        <f>AND(#REF!,"AAAAAHfa93M=")</f>
        <v>#REF!</v>
      </c>
      <c r="DM35" t="e">
        <f>AND(#REF!,"AAAAAHfa93Q=")</f>
        <v>#REF!</v>
      </c>
      <c r="DN35" t="e">
        <f>AND(#REF!,"AAAAAHfa93U=")</f>
        <v>#REF!</v>
      </c>
      <c r="DO35" t="e">
        <f>IF(#REF!,"AAAAAHfa93Y=",0)</f>
        <v>#REF!</v>
      </c>
      <c r="DP35" t="e">
        <f>AND(#REF!,"AAAAAHfa93c=")</f>
        <v>#REF!</v>
      </c>
      <c r="DQ35" t="e">
        <f>AND(#REF!,"AAAAAHfa93g=")</f>
        <v>#REF!</v>
      </c>
      <c r="DR35" t="e">
        <f>AND(#REF!,"AAAAAHfa93k=")</f>
        <v>#REF!</v>
      </c>
      <c r="DS35" t="e">
        <f>AND(#REF!,"AAAAAHfa93o=")</f>
        <v>#REF!</v>
      </c>
      <c r="DT35" t="e">
        <f>AND(#REF!,"AAAAAHfa93s=")</f>
        <v>#REF!</v>
      </c>
      <c r="DU35" t="e">
        <f>AND(#REF!,"AAAAAHfa93w=")</f>
        <v>#REF!</v>
      </c>
      <c r="DV35" t="e">
        <f>AND(#REF!,"AAAAAHfa930=")</f>
        <v>#REF!</v>
      </c>
      <c r="DW35" t="e">
        <f>AND(#REF!,"AAAAAHfa934=")</f>
        <v>#REF!</v>
      </c>
      <c r="DX35" t="e">
        <f>AND(#REF!,"AAAAAHfa938=")</f>
        <v>#REF!</v>
      </c>
      <c r="DY35" t="e">
        <f>AND(#REF!,"AAAAAHfa94A=")</f>
        <v>#REF!</v>
      </c>
      <c r="DZ35" t="e">
        <f>AND(#REF!,"AAAAAHfa94E=")</f>
        <v>#REF!</v>
      </c>
      <c r="EA35" t="e">
        <f>AND(#REF!,"AAAAAHfa94I=")</f>
        <v>#REF!</v>
      </c>
      <c r="EB35" t="e">
        <f>AND(#REF!,"AAAAAHfa94M=")</f>
        <v>#REF!</v>
      </c>
      <c r="EC35" t="e">
        <f>AND(#REF!,"AAAAAHfa94Q=")</f>
        <v>#REF!</v>
      </c>
      <c r="ED35" t="e">
        <f>AND(#REF!,"AAAAAHfa94U=")</f>
        <v>#REF!</v>
      </c>
      <c r="EE35" t="e">
        <f>AND(#REF!,"AAAAAHfa94Y=")</f>
        <v>#REF!</v>
      </c>
      <c r="EF35" t="e">
        <f>AND(#REF!,"AAAAAHfa94c=")</f>
        <v>#REF!</v>
      </c>
      <c r="EG35" t="e">
        <f>AND(#REF!,"AAAAAHfa94g=")</f>
        <v>#REF!</v>
      </c>
      <c r="EH35" t="e">
        <f>AND(#REF!,"AAAAAHfa94k=")</f>
        <v>#REF!</v>
      </c>
      <c r="EI35" t="e">
        <f>AND(#REF!,"AAAAAHfa94o=")</f>
        <v>#REF!</v>
      </c>
      <c r="EJ35" t="e">
        <f>IF(#REF!,"AAAAAHfa94s=",0)</f>
        <v>#REF!</v>
      </c>
      <c r="EK35" t="e">
        <f>AND(#REF!,"AAAAAHfa94w=")</f>
        <v>#REF!</v>
      </c>
      <c r="EL35" t="e">
        <f>AND(#REF!,"AAAAAHfa940=")</f>
        <v>#REF!</v>
      </c>
      <c r="EM35" t="e">
        <f>AND(#REF!,"AAAAAHfa944=")</f>
        <v>#REF!</v>
      </c>
      <c r="EN35" t="e">
        <f>AND(#REF!,"AAAAAHfa948=")</f>
        <v>#REF!</v>
      </c>
      <c r="EO35" t="e">
        <f>AND(#REF!,"AAAAAHfa95A=")</f>
        <v>#REF!</v>
      </c>
      <c r="EP35" t="e">
        <f>AND(#REF!,"AAAAAHfa95E=")</f>
        <v>#REF!</v>
      </c>
      <c r="EQ35" t="e">
        <f>AND(#REF!,"AAAAAHfa95I=")</f>
        <v>#REF!</v>
      </c>
      <c r="ER35" t="e">
        <f>AND(#REF!,"AAAAAHfa95M=")</f>
        <v>#REF!</v>
      </c>
      <c r="ES35" t="e">
        <f>AND(#REF!,"AAAAAHfa95Q=")</f>
        <v>#REF!</v>
      </c>
      <c r="ET35" t="e">
        <f>AND(#REF!,"AAAAAHfa95U=")</f>
        <v>#REF!</v>
      </c>
      <c r="EU35" t="e">
        <f>AND(#REF!,"AAAAAHfa95Y=")</f>
        <v>#REF!</v>
      </c>
      <c r="EV35" t="e">
        <f>AND(#REF!,"AAAAAHfa95c=")</f>
        <v>#REF!</v>
      </c>
      <c r="EW35" t="e">
        <f>AND(#REF!,"AAAAAHfa95g=")</f>
        <v>#REF!</v>
      </c>
      <c r="EX35" t="e">
        <f>AND(#REF!,"AAAAAHfa95k=")</f>
        <v>#REF!</v>
      </c>
      <c r="EY35" t="e">
        <f>AND(#REF!,"AAAAAHfa95o=")</f>
        <v>#REF!</v>
      </c>
      <c r="EZ35" t="e">
        <f>AND(#REF!,"AAAAAHfa95s=")</f>
        <v>#REF!</v>
      </c>
      <c r="FA35" t="e">
        <f>AND(#REF!,"AAAAAHfa95w=")</f>
        <v>#REF!</v>
      </c>
      <c r="FB35" t="e">
        <f>AND(#REF!,"AAAAAHfa950=")</f>
        <v>#REF!</v>
      </c>
      <c r="FC35" t="e">
        <f>AND(#REF!,"AAAAAHfa954=")</f>
        <v>#REF!</v>
      </c>
      <c r="FD35" t="e">
        <f>AND(#REF!,"AAAAAHfa958=")</f>
        <v>#REF!</v>
      </c>
      <c r="FE35" t="e">
        <f>IF(#REF!,"AAAAAHfa96A=",0)</f>
        <v>#REF!</v>
      </c>
      <c r="FF35" t="e">
        <f>AND(#REF!,"AAAAAHfa96E=")</f>
        <v>#REF!</v>
      </c>
      <c r="FG35" t="e">
        <f>AND(#REF!,"AAAAAHfa96I=")</f>
        <v>#REF!</v>
      </c>
      <c r="FH35" t="e">
        <f>AND(#REF!,"AAAAAHfa96M=")</f>
        <v>#REF!</v>
      </c>
      <c r="FI35" t="e">
        <f>AND(#REF!,"AAAAAHfa96Q=")</f>
        <v>#REF!</v>
      </c>
      <c r="FJ35" t="e">
        <f>AND(#REF!,"AAAAAHfa96U=")</f>
        <v>#REF!</v>
      </c>
      <c r="FK35" t="e">
        <f>AND(#REF!,"AAAAAHfa96Y=")</f>
        <v>#REF!</v>
      </c>
      <c r="FL35" t="e">
        <f>AND(#REF!,"AAAAAHfa96c=")</f>
        <v>#REF!</v>
      </c>
      <c r="FM35" t="e">
        <f>AND(#REF!,"AAAAAHfa96g=")</f>
        <v>#REF!</v>
      </c>
      <c r="FN35" t="e">
        <f>AND(#REF!,"AAAAAHfa96k=")</f>
        <v>#REF!</v>
      </c>
      <c r="FO35" t="e">
        <f>AND(#REF!,"AAAAAHfa96o=")</f>
        <v>#REF!</v>
      </c>
      <c r="FP35" t="e">
        <f>AND(#REF!,"AAAAAHfa96s=")</f>
        <v>#REF!</v>
      </c>
      <c r="FQ35" t="e">
        <f>AND(#REF!,"AAAAAHfa96w=")</f>
        <v>#REF!</v>
      </c>
      <c r="FR35" t="e">
        <f>AND(#REF!,"AAAAAHfa960=")</f>
        <v>#REF!</v>
      </c>
      <c r="FS35" t="e">
        <f>AND(#REF!,"AAAAAHfa964=")</f>
        <v>#REF!</v>
      </c>
      <c r="FT35" t="e">
        <f>AND(#REF!,"AAAAAHfa968=")</f>
        <v>#REF!</v>
      </c>
      <c r="FU35" t="e">
        <f>AND(#REF!,"AAAAAHfa97A=")</f>
        <v>#REF!</v>
      </c>
      <c r="FV35" t="e">
        <f>AND(#REF!,"AAAAAHfa97E=")</f>
        <v>#REF!</v>
      </c>
      <c r="FW35" t="e">
        <f>AND(#REF!,"AAAAAHfa97I=")</f>
        <v>#REF!</v>
      </c>
      <c r="FX35" t="e">
        <f>AND(#REF!,"AAAAAHfa97M=")</f>
        <v>#REF!</v>
      </c>
      <c r="FY35" t="e">
        <f>AND(#REF!,"AAAAAHfa97Q=")</f>
        <v>#REF!</v>
      </c>
      <c r="FZ35" t="e">
        <f>IF(#REF!,"AAAAAHfa97U=",0)</f>
        <v>#REF!</v>
      </c>
      <c r="GA35" t="e">
        <f>AND(#REF!,"AAAAAHfa97Y=")</f>
        <v>#REF!</v>
      </c>
      <c r="GB35" t="e">
        <f>AND(#REF!,"AAAAAHfa97c=")</f>
        <v>#REF!</v>
      </c>
      <c r="GC35" t="e">
        <f>AND(#REF!,"AAAAAHfa97g=")</f>
        <v>#REF!</v>
      </c>
      <c r="GD35" t="e">
        <f>AND(#REF!,"AAAAAHfa97k=")</f>
        <v>#REF!</v>
      </c>
      <c r="GE35" t="e">
        <f>AND(#REF!,"AAAAAHfa97o=")</f>
        <v>#REF!</v>
      </c>
      <c r="GF35" t="e">
        <f>AND(#REF!,"AAAAAHfa97s=")</f>
        <v>#REF!</v>
      </c>
      <c r="GG35" t="e">
        <f>AND(#REF!,"AAAAAHfa97w=")</f>
        <v>#REF!</v>
      </c>
      <c r="GH35" t="e">
        <f>AND(#REF!,"AAAAAHfa970=")</f>
        <v>#REF!</v>
      </c>
      <c r="GI35" t="e">
        <f>AND(#REF!,"AAAAAHfa974=")</f>
        <v>#REF!</v>
      </c>
      <c r="GJ35" t="e">
        <f>AND(#REF!,"AAAAAHfa978=")</f>
        <v>#REF!</v>
      </c>
      <c r="GK35" t="e">
        <f>AND(#REF!,"AAAAAHfa98A=")</f>
        <v>#REF!</v>
      </c>
      <c r="GL35" t="e">
        <f>AND(#REF!,"AAAAAHfa98E=")</f>
        <v>#REF!</v>
      </c>
      <c r="GM35" t="e">
        <f>AND(#REF!,"AAAAAHfa98I=")</f>
        <v>#REF!</v>
      </c>
      <c r="GN35" t="e">
        <f>AND(#REF!,"AAAAAHfa98M=")</f>
        <v>#REF!</v>
      </c>
      <c r="GO35" t="e">
        <f>AND(#REF!,"AAAAAHfa98Q=")</f>
        <v>#REF!</v>
      </c>
      <c r="GP35" t="e">
        <f>AND(#REF!,"AAAAAHfa98U=")</f>
        <v>#REF!</v>
      </c>
      <c r="GQ35" t="e">
        <f>AND(#REF!,"AAAAAHfa98Y=")</f>
        <v>#REF!</v>
      </c>
      <c r="GR35" t="e">
        <f>AND(#REF!,"AAAAAHfa98c=")</f>
        <v>#REF!</v>
      </c>
      <c r="GS35" t="e">
        <f>AND(#REF!,"AAAAAHfa98g=")</f>
        <v>#REF!</v>
      </c>
      <c r="GT35" t="e">
        <f>AND(#REF!,"AAAAAHfa98k=")</f>
        <v>#REF!</v>
      </c>
      <c r="GU35" t="e">
        <f>IF(#REF!,"AAAAAHfa98o=",0)</f>
        <v>#REF!</v>
      </c>
      <c r="GV35" t="e">
        <f>AND(#REF!,"AAAAAHfa98s=")</f>
        <v>#REF!</v>
      </c>
      <c r="GW35" t="e">
        <f>AND(#REF!,"AAAAAHfa98w=")</f>
        <v>#REF!</v>
      </c>
      <c r="GX35" t="e">
        <f>AND(#REF!,"AAAAAHfa980=")</f>
        <v>#REF!</v>
      </c>
      <c r="GY35" t="e">
        <f>AND(#REF!,"AAAAAHfa984=")</f>
        <v>#REF!</v>
      </c>
      <c r="GZ35" t="e">
        <f>AND(#REF!,"AAAAAHfa988=")</f>
        <v>#REF!</v>
      </c>
      <c r="HA35" t="e">
        <f>AND(#REF!,"AAAAAHfa99A=")</f>
        <v>#REF!</v>
      </c>
      <c r="HB35" t="e">
        <f>AND(#REF!,"AAAAAHfa99E=")</f>
        <v>#REF!</v>
      </c>
      <c r="HC35" t="e">
        <f>AND(#REF!,"AAAAAHfa99I=")</f>
        <v>#REF!</v>
      </c>
      <c r="HD35" t="e">
        <f>AND(#REF!,"AAAAAHfa99M=")</f>
        <v>#REF!</v>
      </c>
      <c r="HE35" t="e">
        <f>AND(#REF!,"AAAAAHfa99Q=")</f>
        <v>#REF!</v>
      </c>
      <c r="HF35" t="e">
        <f>AND(#REF!,"AAAAAHfa99U=")</f>
        <v>#REF!</v>
      </c>
      <c r="HG35" t="e">
        <f>AND(#REF!,"AAAAAHfa99Y=")</f>
        <v>#REF!</v>
      </c>
      <c r="HH35" t="e">
        <f>AND(#REF!,"AAAAAHfa99c=")</f>
        <v>#REF!</v>
      </c>
      <c r="HI35" t="e">
        <f>AND(#REF!,"AAAAAHfa99g=")</f>
        <v>#REF!</v>
      </c>
      <c r="HJ35" t="e">
        <f>AND(#REF!,"AAAAAHfa99k=")</f>
        <v>#REF!</v>
      </c>
      <c r="HK35" t="e">
        <f>AND(#REF!,"AAAAAHfa99o=")</f>
        <v>#REF!</v>
      </c>
      <c r="HL35" t="e">
        <f>AND(#REF!,"AAAAAHfa99s=")</f>
        <v>#REF!</v>
      </c>
      <c r="HM35" t="e">
        <f>AND(#REF!,"AAAAAHfa99w=")</f>
        <v>#REF!</v>
      </c>
      <c r="HN35" t="e">
        <f>AND(#REF!,"AAAAAHfa990=")</f>
        <v>#REF!</v>
      </c>
      <c r="HO35" t="e">
        <f>AND(#REF!,"AAAAAHfa994=")</f>
        <v>#REF!</v>
      </c>
      <c r="HP35" t="e">
        <f>IF(#REF!,"AAAAAHfa998=",0)</f>
        <v>#REF!</v>
      </c>
      <c r="HQ35" t="e">
        <f>AND(#REF!,"AAAAAHfa9+A=")</f>
        <v>#REF!</v>
      </c>
      <c r="HR35" t="e">
        <f>AND(#REF!,"AAAAAHfa9+E=")</f>
        <v>#REF!</v>
      </c>
      <c r="HS35" t="e">
        <f>AND(#REF!,"AAAAAHfa9+I=")</f>
        <v>#REF!</v>
      </c>
      <c r="HT35" t="e">
        <f>AND(#REF!,"AAAAAHfa9+M=")</f>
        <v>#REF!</v>
      </c>
      <c r="HU35" t="e">
        <f>AND(#REF!,"AAAAAHfa9+Q=")</f>
        <v>#REF!</v>
      </c>
      <c r="HV35" t="e">
        <f>AND(#REF!,"AAAAAHfa9+U=")</f>
        <v>#REF!</v>
      </c>
      <c r="HW35" t="e">
        <f>AND(#REF!,"AAAAAHfa9+Y=")</f>
        <v>#REF!</v>
      </c>
      <c r="HX35" t="e">
        <f>AND(#REF!,"AAAAAHfa9+c=")</f>
        <v>#REF!</v>
      </c>
      <c r="HY35" t="e">
        <f>AND(#REF!,"AAAAAHfa9+g=")</f>
        <v>#REF!</v>
      </c>
      <c r="HZ35" t="e">
        <f>AND(#REF!,"AAAAAHfa9+k=")</f>
        <v>#REF!</v>
      </c>
      <c r="IA35" t="e">
        <f>AND(#REF!,"AAAAAHfa9+o=")</f>
        <v>#REF!</v>
      </c>
      <c r="IB35" t="e">
        <f>AND(#REF!,"AAAAAHfa9+s=")</f>
        <v>#REF!</v>
      </c>
      <c r="IC35" t="e">
        <f>AND(#REF!,"AAAAAHfa9+w=")</f>
        <v>#REF!</v>
      </c>
      <c r="ID35" t="e">
        <f>AND(#REF!,"AAAAAHfa9+0=")</f>
        <v>#REF!</v>
      </c>
      <c r="IE35" t="e">
        <f>AND(#REF!,"AAAAAHfa9+4=")</f>
        <v>#REF!</v>
      </c>
      <c r="IF35" t="e">
        <f>AND(#REF!,"AAAAAHfa9+8=")</f>
        <v>#REF!</v>
      </c>
      <c r="IG35" t="e">
        <f>AND(#REF!,"AAAAAHfa9/A=")</f>
        <v>#REF!</v>
      </c>
      <c r="IH35" t="e">
        <f>AND(#REF!,"AAAAAHfa9/E=")</f>
        <v>#REF!</v>
      </c>
      <c r="II35" t="e">
        <f>AND(#REF!,"AAAAAHfa9/I=")</f>
        <v>#REF!</v>
      </c>
      <c r="IJ35" t="e">
        <f>AND(#REF!,"AAAAAHfa9/M=")</f>
        <v>#REF!</v>
      </c>
      <c r="IK35" t="e">
        <f>IF(#REF!,"AAAAAHfa9/Q=",0)</f>
        <v>#REF!</v>
      </c>
      <c r="IL35" t="e">
        <f>AND(#REF!,"AAAAAHfa9/U=")</f>
        <v>#REF!</v>
      </c>
      <c r="IM35" t="e">
        <f>AND(#REF!,"AAAAAHfa9/Y=")</f>
        <v>#REF!</v>
      </c>
      <c r="IN35" t="e">
        <f>AND(#REF!,"AAAAAHfa9/c=")</f>
        <v>#REF!</v>
      </c>
      <c r="IO35" t="e">
        <f>AND(#REF!,"AAAAAHfa9/g=")</f>
        <v>#REF!</v>
      </c>
      <c r="IP35" t="e">
        <f>AND(#REF!,"AAAAAHfa9/k=")</f>
        <v>#REF!</v>
      </c>
      <c r="IQ35" t="e">
        <f>AND(#REF!,"AAAAAHfa9/o=")</f>
        <v>#REF!</v>
      </c>
      <c r="IR35" t="e">
        <f>AND(#REF!,"AAAAAHfa9/s=")</f>
        <v>#REF!</v>
      </c>
      <c r="IS35" t="e">
        <f>AND(#REF!,"AAAAAHfa9/w=")</f>
        <v>#REF!</v>
      </c>
      <c r="IT35" t="e">
        <f>AND(#REF!,"AAAAAHfa9/0=")</f>
        <v>#REF!</v>
      </c>
      <c r="IU35" t="e">
        <f>AND(#REF!,"AAAAAHfa9/4=")</f>
        <v>#REF!</v>
      </c>
      <c r="IV35" t="e">
        <f>AND(#REF!,"AAAAAHfa9/8=")</f>
        <v>#REF!</v>
      </c>
    </row>
    <row r="36" spans="1:256" x14ac:dyDescent="0.25">
      <c r="A36" t="e">
        <f>AND(#REF!,"AAAAADa79gA=")</f>
        <v>#REF!</v>
      </c>
      <c r="B36" t="e">
        <f>AND(#REF!,"AAAAADa79gE=")</f>
        <v>#REF!</v>
      </c>
      <c r="C36" t="e">
        <f>AND(#REF!,"AAAAADa79gI=")</f>
        <v>#REF!</v>
      </c>
      <c r="D36" t="e">
        <f>AND(#REF!,"AAAAADa79gM=")</f>
        <v>#REF!</v>
      </c>
      <c r="E36" t="e">
        <f>AND(#REF!,"AAAAADa79gQ=")</f>
        <v>#REF!</v>
      </c>
      <c r="F36" t="e">
        <f>AND(#REF!,"AAAAADa79gU=")</f>
        <v>#REF!</v>
      </c>
      <c r="G36" t="e">
        <f>AND(#REF!,"AAAAADa79gY=")</f>
        <v>#REF!</v>
      </c>
      <c r="H36" t="e">
        <f>AND(#REF!,"AAAAADa79gc=")</f>
        <v>#REF!</v>
      </c>
      <c r="I36" t="e">
        <f>AND(#REF!,"AAAAADa79gg=")</f>
        <v>#REF!</v>
      </c>
      <c r="J36" t="e">
        <f>IF(#REF!,"AAAAADa79gk=",0)</f>
        <v>#REF!</v>
      </c>
      <c r="K36" t="e">
        <f>AND(#REF!,"AAAAADa79go=")</f>
        <v>#REF!</v>
      </c>
      <c r="L36" t="e">
        <f>AND(#REF!,"AAAAADa79gs=")</f>
        <v>#REF!</v>
      </c>
      <c r="M36" t="e">
        <f>AND(#REF!,"AAAAADa79gw=")</f>
        <v>#REF!</v>
      </c>
      <c r="N36" t="e">
        <f>AND(#REF!,"AAAAADa79g0=")</f>
        <v>#REF!</v>
      </c>
      <c r="O36" t="e">
        <f>AND(#REF!,"AAAAADa79g4=")</f>
        <v>#REF!</v>
      </c>
      <c r="P36" t="e">
        <f>AND(#REF!,"AAAAADa79g8=")</f>
        <v>#REF!</v>
      </c>
      <c r="Q36" t="e">
        <f>AND(#REF!,"AAAAADa79hA=")</f>
        <v>#REF!</v>
      </c>
      <c r="R36" t="e">
        <f>AND(#REF!,"AAAAADa79hE=")</f>
        <v>#REF!</v>
      </c>
      <c r="S36" t="e">
        <f>AND(#REF!,"AAAAADa79hI=")</f>
        <v>#REF!</v>
      </c>
      <c r="T36" t="e">
        <f>AND(#REF!,"AAAAADa79hM=")</f>
        <v>#REF!</v>
      </c>
      <c r="U36" t="e">
        <f>AND(#REF!,"AAAAADa79hQ=")</f>
        <v>#REF!</v>
      </c>
      <c r="V36" t="e">
        <f>AND(#REF!,"AAAAADa79hU=")</f>
        <v>#REF!</v>
      </c>
      <c r="W36" t="e">
        <f>AND(#REF!,"AAAAADa79hY=")</f>
        <v>#REF!</v>
      </c>
      <c r="X36" t="e">
        <f>AND(#REF!,"AAAAADa79hc=")</f>
        <v>#REF!</v>
      </c>
      <c r="Y36" t="e">
        <f>AND(#REF!,"AAAAADa79hg=")</f>
        <v>#REF!</v>
      </c>
      <c r="Z36" t="e">
        <f>AND(#REF!,"AAAAADa79hk=")</f>
        <v>#REF!</v>
      </c>
      <c r="AA36" t="e">
        <f>AND(#REF!,"AAAAADa79ho=")</f>
        <v>#REF!</v>
      </c>
      <c r="AB36" t="e">
        <f>AND(#REF!,"AAAAADa79hs=")</f>
        <v>#REF!</v>
      </c>
      <c r="AC36" t="e">
        <f>AND(#REF!,"AAAAADa79hw=")</f>
        <v>#REF!</v>
      </c>
      <c r="AD36" t="e">
        <f>AND(#REF!,"AAAAADa79h0=")</f>
        <v>#REF!</v>
      </c>
      <c r="AE36" t="e">
        <f>IF(#REF!,"AAAAADa79h4=",0)</f>
        <v>#REF!</v>
      </c>
      <c r="AF36" t="e">
        <f>AND(#REF!,"AAAAADa79h8=")</f>
        <v>#REF!</v>
      </c>
      <c r="AG36" t="e">
        <f>AND(#REF!,"AAAAADa79iA=")</f>
        <v>#REF!</v>
      </c>
      <c r="AH36" t="e">
        <f>AND(#REF!,"AAAAADa79iE=")</f>
        <v>#REF!</v>
      </c>
      <c r="AI36" t="e">
        <f>AND(#REF!,"AAAAADa79iI=")</f>
        <v>#REF!</v>
      </c>
      <c r="AJ36" t="e">
        <f>AND(#REF!,"AAAAADa79iM=")</f>
        <v>#REF!</v>
      </c>
      <c r="AK36" t="e">
        <f>AND(#REF!,"AAAAADa79iQ=")</f>
        <v>#REF!</v>
      </c>
      <c r="AL36" t="e">
        <f>AND(#REF!,"AAAAADa79iU=")</f>
        <v>#REF!</v>
      </c>
      <c r="AM36" t="e">
        <f>AND(#REF!,"AAAAADa79iY=")</f>
        <v>#REF!</v>
      </c>
      <c r="AN36" t="e">
        <f>AND(#REF!,"AAAAADa79ic=")</f>
        <v>#REF!</v>
      </c>
      <c r="AO36" t="e">
        <f>AND(#REF!,"AAAAADa79ig=")</f>
        <v>#REF!</v>
      </c>
      <c r="AP36" t="e">
        <f>AND(#REF!,"AAAAADa79ik=")</f>
        <v>#REF!</v>
      </c>
      <c r="AQ36" t="e">
        <f>AND(#REF!,"AAAAADa79io=")</f>
        <v>#REF!</v>
      </c>
      <c r="AR36" t="e">
        <f>AND(#REF!,"AAAAADa79is=")</f>
        <v>#REF!</v>
      </c>
      <c r="AS36" t="e">
        <f>AND(#REF!,"AAAAADa79iw=")</f>
        <v>#REF!</v>
      </c>
      <c r="AT36" t="e">
        <f>AND(#REF!,"AAAAADa79i0=")</f>
        <v>#REF!</v>
      </c>
      <c r="AU36" t="e">
        <f>AND(#REF!,"AAAAADa79i4=")</f>
        <v>#REF!</v>
      </c>
      <c r="AV36" t="e">
        <f>AND(#REF!,"AAAAADa79i8=")</f>
        <v>#REF!</v>
      </c>
      <c r="AW36" t="e">
        <f>AND(#REF!,"AAAAADa79jA=")</f>
        <v>#REF!</v>
      </c>
      <c r="AX36" t="e">
        <f>AND(#REF!,"AAAAADa79jE=")</f>
        <v>#REF!</v>
      </c>
      <c r="AY36" t="e">
        <f>AND(#REF!,"AAAAADa79jI=")</f>
        <v>#REF!</v>
      </c>
      <c r="AZ36" t="e">
        <f>IF(#REF!,"AAAAADa79jM=",0)</f>
        <v>#REF!</v>
      </c>
      <c r="BA36" t="e">
        <f>AND(#REF!,"AAAAADa79jQ=")</f>
        <v>#REF!</v>
      </c>
      <c r="BB36" t="e">
        <f>AND(#REF!,"AAAAADa79jU=")</f>
        <v>#REF!</v>
      </c>
      <c r="BC36" t="e">
        <f>AND(#REF!,"AAAAADa79jY=")</f>
        <v>#REF!</v>
      </c>
      <c r="BD36" t="e">
        <f>AND(#REF!,"AAAAADa79jc=")</f>
        <v>#REF!</v>
      </c>
      <c r="BE36" t="e">
        <f>AND(#REF!,"AAAAADa79jg=")</f>
        <v>#REF!</v>
      </c>
      <c r="BF36" t="e">
        <f>AND(#REF!,"AAAAADa79jk=")</f>
        <v>#REF!</v>
      </c>
      <c r="BG36" t="e">
        <f>AND(#REF!,"AAAAADa79jo=")</f>
        <v>#REF!</v>
      </c>
      <c r="BH36" t="e">
        <f>AND(#REF!,"AAAAADa79js=")</f>
        <v>#REF!</v>
      </c>
      <c r="BI36" t="e">
        <f>AND(#REF!,"AAAAADa79jw=")</f>
        <v>#REF!</v>
      </c>
      <c r="BJ36" t="e">
        <f>AND(#REF!,"AAAAADa79j0=")</f>
        <v>#REF!</v>
      </c>
      <c r="BK36" t="e">
        <f>AND(#REF!,"AAAAADa79j4=")</f>
        <v>#REF!</v>
      </c>
      <c r="BL36" t="e">
        <f>AND(#REF!,"AAAAADa79j8=")</f>
        <v>#REF!</v>
      </c>
      <c r="BM36" t="e">
        <f>AND(#REF!,"AAAAADa79kA=")</f>
        <v>#REF!</v>
      </c>
      <c r="BN36" t="e">
        <f>AND(#REF!,"AAAAADa79kE=")</f>
        <v>#REF!</v>
      </c>
      <c r="BO36" t="e">
        <f>AND(#REF!,"AAAAADa79kI=")</f>
        <v>#REF!</v>
      </c>
      <c r="BP36" t="e">
        <f>AND(#REF!,"AAAAADa79kM=")</f>
        <v>#REF!</v>
      </c>
      <c r="BQ36" t="e">
        <f>AND(#REF!,"AAAAADa79kQ=")</f>
        <v>#REF!</v>
      </c>
      <c r="BR36" t="e">
        <f>AND(#REF!,"AAAAADa79kU=")</f>
        <v>#REF!</v>
      </c>
      <c r="BS36" t="e">
        <f>AND(#REF!,"AAAAADa79kY=")</f>
        <v>#REF!</v>
      </c>
      <c r="BT36" t="e">
        <f>AND(#REF!,"AAAAADa79kc=")</f>
        <v>#REF!</v>
      </c>
      <c r="BU36" t="e">
        <f>IF(#REF!,"AAAAADa79kg=",0)</f>
        <v>#REF!</v>
      </c>
      <c r="BV36" t="e">
        <f>AND(#REF!,"AAAAADa79kk=")</f>
        <v>#REF!</v>
      </c>
      <c r="BW36" t="e">
        <f>AND(#REF!,"AAAAADa79ko=")</f>
        <v>#REF!</v>
      </c>
      <c r="BX36" t="e">
        <f>AND(#REF!,"AAAAADa79ks=")</f>
        <v>#REF!</v>
      </c>
      <c r="BY36" t="e">
        <f>AND(#REF!,"AAAAADa79kw=")</f>
        <v>#REF!</v>
      </c>
      <c r="BZ36" t="e">
        <f>AND(#REF!,"AAAAADa79k0=")</f>
        <v>#REF!</v>
      </c>
      <c r="CA36" t="e">
        <f>AND(#REF!,"AAAAADa79k4=")</f>
        <v>#REF!</v>
      </c>
      <c r="CB36" t="e">
        <f>AND(#REF!,"AAAAADa79k8=")</f>
        <v>#REF!</v>
      </c>
      <c r="CC36" t="e">
        <f>AND(#REF!,"AAAAADa79lA=")</f>
        <v>#REF!</v>
      </c>
      <c r="CD36" t="e">
        <f>AND(#REF!,"AAAAADa79lE=")</f>
        <v>#REF!</v>
      </c>
      <c r="CE36" t="e">
        <f>AND(#REF!,"AAAAADa79lI=")</f>
        <v>#REF!</v>
      </c>
      <c r="CF36" t="e">
        <f>AND(#REF!,"AAAAADa79lM=")</f>
        <v>#REF!</v>
      </c>
      <c r="CG36" t="e">
        <f>AND(#REF!,"AAAAADa79lQ=")</f>
        <v>#REF!</v>
      </c>
      <c r="CH36" t="e">
        <f>AND(#REF!,"AAAAADa79lU=")</f>
        <v>#REF!</v>
      </c>
      <c r="CI36" t="e">
        <f>AND(#REF!,"AAAAADa79lY=")</f>
        <v>#REF!</v>
      </c>
      <c r="CJ36" t="e">
        <f>AND(#REF!,"AAAAADa79lc=")</f>
        <v>#REF!</v>
      </c>
      <c r="CK36" t="e">
        <f>AND(#REF!,"AAAAADa79lg=")</f>
        <v>#REF!</v>
      </c>
      <c r="CL36" t="e">
        <f>AND(#REF!,"AAAAADa79lk=")</f>
        <v>#REF!</v>
      </c>
      <c r="CM36" t="e">
        <f>AND(#REF!,"AAAAADa79lo=")</f>
        <v>#REF!</v>
      </c>
      <c r="CN36" t="e">
        <f>AND(#REF!,"AAAAADa79ls=")</f>
        <v>#REF!</v>
      </c>
      <c r="CO36" t="e">
        <f>AND(#REF!,"AAAAADa79lw=")</f>
        <v>#REF!</v>
      </c>
      <c r="CP36" t="e">
        <f>IF(#REF!,"AAAAADa79l0=",0)</f>
        <v>#REF!</v>
      </c>
      <c r="CQ36" t="e">
        <f>AND(#REF!,"AAAAADa79l4=")</f>
        <v>#REF!</v>
      </c>
      <c r="CR36" t="e">
        <f>AND(#REF!,"AAAAADa79l8=")</f>
        <v>#REF!</v>
      </c>
      <c r="CS36" t="e">
        <f>AND(#REF!,"AAAAADa79mA=")</f>
        <v>#REF!</v>
      </c>
      <c r="CT36" t="e">
        <f>AND(#REF!,"AAAAADa79mE=")</f>
        <v>#REF!</v>
      </c>
      <c r="CU36" t="e">
        <f>AND(#REF!,"AAAAADa79mI=")</f>
        <v>#REF!</v>
      </c>
      <c r="CV36" t="e">
        <f>AND(#REF!,"AAAAADa79mM=")</f>
        <v>#REF!</v>
      </c>
      <c r="CW36" t="e">
        <f>AND(#REF!,"AAAAADa79mQ=")</f>
        <v>#REF!</v>
      </c>
      <c r="CX36" t="e">
        <f>AND(#REF!,"AAAAADa79mU=")</f>
        <v>#REF!</v>
      </c>
      <c r="CY36" t="e">
        <f>AND(#REF!,"AAAAADa79mY=")</f>
        <v>#REF!</v>
      </c>
      <c r="CZ36" t="e">
        <f>AND(#REF!,"AAAAADa79mc=")</f>
        <v>#REF!</v>
      </c>
      <c r="DA36" t="e">
        <f>AND(#REF!,"AAAAADa79mg=")</f>
        <v>#REF!</v>
      </c>
      <c r="DB36" t="e">
        <f>AND(#REF!,"AAAAADa79mk=")</f>
        <v>#REF!</v>
      </c>
      <c r="DC36" t="e">
        <f>AND(#REF!,"AAAAADa79mo=")</f>
        <v>#REF!</v>
      </c>
      <c r="DD36" t="e">
        <f>AND(#REF!,"AAAAADa79ms=")</f>
        <v>#REF!</v>
      </c>
      <c r="DE36" t="e">
        <f>AND(#REF!,"AAAAADa79mw=")</f>
        <v>#REF!</v>
      </c>
      <c r="DF36" t="e">
        <f>AND(#REF!,"AAAAADa79m0=")</f>
        <v>#REF!</v>
      </c>
      <c r="DG36" t="e">
        <f>AND(#REF!,"AAAAADa79m4=")</f>
        <v>#REF!</v>
      </c>
      <c r="DH36" t="e">
        <f>AND(#REF!,"AAAAADa79m8=")</f>
        <v>#REF!</v>
      </c>
      <c r="DI36" t="e">
        <f>AND(#REF!,"AAAAADa79nA=")</f>
        <v>#REF!</v>
      </c>
      <c r="DJ36" t="e">
        <f>AND(#REF!,"AAAAADa79nE=")</f>
        <v>#REF!</v>
      </c>
      <c r="DK36" t="e">
        <f>IF(#REF!,"AAAAADa79nI=",0)</f>
        <v>#REF!</v>
      </c>
      <c r="DL36" t="e">
        <f>AND(#REF!,"AAAAADa79nM=")</f>
        <v>#REF!</v>
      </c>
      <c r="DM36" t="e">
        <f>AND(#REF!,"AAAAADa79nQ=")</f>
        <v>#REF!</v>
      </c>
      <c r="DN36" t="e">
        <f>AND(#REF!,"AAAAADa79nU=")</f>
        <v>#REF!</v>
      </c>
      <c r="DO36" t="e">
        <f>AND(#REF!,"AAAAADa79nY=")</f>
        <v>#REF!</v>
      </c>
      <c r="DP36" t="e">
        <f>AND(#REF!,"AAAAADa79nc=")</f>
        <v>#REF!</v>
      </c>
      <c r="DQ36" t="e">
        <f>AND(#REF!,"AAAAADa79ng=")</f>
        <v>#REF!</v>
      </c>
      <c r="DR36" t="e">
        <f>AND(#REF!,"AAAAADa79nk=")</f>
        <v>#REF!</v>
      </c>
      <c r="DS36" t="e">
        <f>AND(#REF!,"AAAAADa79no=")</f>
        <v>#REF!</v>
      </c>
      <c r="DT36" t="e">
        <f>AND(#REF!,"AAAAADa79ns=")</f>
        <v>#REF!</v>
      </c>
      <c r="DU36" t="e">
        <f>AND(#REF!,"AAAAADa79nw=")</f>
        <v>#REF!</v>
      </c>
      <c r="DV36" t="e">
        <f>AND(#REF!,"AAAAADa79n0=")</f>
        <v>#REF!</v>
      </c>
      <c r="DW36" t="e">
        <f>AND(#REF!,"AAAAADa79n4=")</f>
        <v>#REF!</v>
      </c>
      <c r="DX36" t="e">
        <f>AND(#REF!,"AAAAADa79n8=")</f>
        <v>#REF!</v>
      </c>
      <c r="DY36" t="e">
        <f>AND(#REF!,"AAAAADa79oA=")</f>
        <v>#REF!</v>
      </c>
      <c r="DZ36" t="e">
        <f>AND(#REF!,"AAAAADa79oE=")</f>
        <v>#REF!</v>
      </c>
      <c r="EA36" t="e">
        <f>AND(#REF!,"AAAAADa79oI=")</f>
        <v>#REF!</v>
      </c>
      <c r="EB36" t="e">
        <f>AND(#REF!,"AAAAADa79oM=")</f>
        <v>#REF!</v>
      </c>
      <c r="EC36" t="e">
        <f>AND(#REF!,"AAAAADa79oQ=")</f>
        <v>#REF!</v>
      </c>
      <c r="ED36" t="e">
        <f>AND(#REF!,"AAAAADa79oU=")</f>
        <v>#REF!</v>
      </c>
      <c r="EE36" t="e">
        <f>AND(#REF!,"AAAAADa79oY=")</f>
        <v>#REF!</v>
      </c>
      <c r="EF36" t="e">
        <f>IF(#REF!,"AAAAADa79oc=",0)</f>
        <v>#REF!</v>
      </c>
      <c r="EG36" t="e">
        <f>AND(#REF!,"AAAAADa79og=")</f>
        <v>#REF!</v>
      </c>
      <c r="EH36" t="e">
        <f>AND(#REF!,"AAAAADa79ok=")</f>
        <v>#REF!</v>
      </c>
      <c r="EI36" t="e">
        <f>AND(#REF!,"AAAAADa79oo=")</f>
        <v>#REF!</v>
      </c>
      <c r="EJ36" t="e">
        <f>AND(#REF!,"AAAAADa79os=")</f>
        <v>#REF!</v>
      </c>
      <c r="EK36" t="e">
        <f>AND(#REF!,"AAAAADa79ow=")</f>
        <v>#REF!</v>
      </c>
      <c r="EL36" t="e">
        <f>AND(#REF!,"AAAAADa79o0=")</f>
        <v>#REF!</v>
      </c>
      <c r="EM36" t="e">
        <f>AND(#REF!,"AAAAADa79o4=")</f>
        <v>#REF!</v>
      </c>
      <c r="EN36" t="e">
        <f>AND(#REF!,"AAAAADa79o8=")</f>
        <v>#REF!</v>
      </c>
      <c r="EO36" t="e">
        <f>AND(#REF!,"AAAAADa79pA=")</f>
        <v>#REF!</v>
      </c>
      <c r="EP36" t="e">
        <f>AND(#REF!,"AAAAADa79pE=")</f>
        <v>#REF!</v>
      </c>
      <c r="EQ36" t="e">
        <f>AND(#REF!,"AAAAADa79pI=")</f>
        <v>#REF!</v>
      </c>
      <c r="ER36" t="e">
        <f>AND(#REF!,"AAAAADa79pM=")</f>
        <v>#REF!</v>
      </c>
      <c r="ES36" t="e">
        <f>AND(#REF!,"AAAAADa79pQ=")</f>
        <v>#REF!</v>
      </c>
      <c r="ET36" t="e">
        <f>AND(#REF!,"AAAAADa79pU=")</f>
        <v>#REF!</v>
      </c>
      <c r="EU36" t="e">
        <f>AND(#REF!,"AAAAADa79pY=")</f>
        <v>#REF!</v>
      </c>
      <c r="EV36" t="e">
        <f>AND(#REF!,"AAAAADa79pc=")</f>
        <v>#REF!</v>
      </c>
      <c r="EW36" t="e">
        <f>AND(#REF!,"AAAAADa79pg=")</f>
        <v>#REF!</v>
      </c>
      <c r="EX36" t="e">
        <f>AND(#REF!,"AAAAADa79pk=")</f>
        <v>#REF!</v>
      </c>
      <c r="EY36" t="e">
        <f>AND(#REF!,"AAAAADa79po=")</f>
        <v>#REF!</v>
      </c>
      <c r="EZ36" t="e">
        <f>AND(#REF!,"AAAAADa79ps=")</f>
        <v>#REF!</v>
      </c>
      <c r="FA36" t="e">
        <f>IF(#REF!,"AAAAADa79pw=",0)</f>
        <v>#REF!</v>
      </c>
      <c r="FB36" t="e">
        <f>AND(#REF!,"AAAAADa79p0=")</f>
        <v>#REF!</v>
      </c>
      <c r="FC36" t="e">
        <f>AND(#REF!,"AAAAADa79p4=")</f>
        <v>#REF!</v>
      </c>
      <c r="FD36" t="e">
        <f>AND(#REF!,"AAAAADa79p8=")</f>
        <v>#REF!</v>
      </c>
      <c r="FE36" t="e">
        <f>AND(#REF!,"AAAAADa79qA=")</f>
        <v>#REF!</v>
      </c>
      <c r="FF36" t="e">
        <f>AND(#REF!,"AAAAADa79qE=")</f>
        <v>#REF!</v>
      </c>
      <c r="FG36" t="e">
        <f>AND(#REF!,"AAAAADa79qI=")</f>
        <v>#REF!</v>
      </c>
      <c r="FH36" t="e">
        <f>AND(#REF!,"AAAAADa79qM=")</f>
        <v>#REF!</v>
      </c>
      <c r="FI36" t="e">
        <f>AND(#REF!,"AAAAADa79qQ=")</f>
        <v>#REF!</v>
      </c>
      <c r="FJ36" t="e">
        <f>AND(#REF!,"AAAAADa79qU=")</f>
        <v>#REF!</v>
      </c>
      <c r="FK36" t="e">
        <f>AND(#REF!,"AAAAADa79qY=")</f>
        <v>#REF!</v>
      </c>
      <c r="FL36" t="e">
        <f>AND(#REF!,"AAAAADa79qc=")</f>
        <v>#REF!</v>
      </c>
      <c r="FM36" t="e">
        <f>AND(#REF!,"AAAAADa79qg=")</f>
        <v>#REF!</v>
      </c>
      <c r="FN36" t="e">
        <f>AND(#REF!,"AAAAADa79qk=")</f>
        <v>#REF!</v>
      </c>
      <c r="FO36" t="e">
        <f>AND(#REF!,"AAAAADa79qo=")</f>
        <v>#REF!</v>
      </c>
      <c r="FP36" t="e">
        <f>AND(#REF!,"AAAAADa79qs=")</f>
        <v>#REF!</v>
      </c>
      <c r="FQ36" t="e">
        <f>AND(#REF!,"AAAAADa79qw=")</f>
        <v>#REF!</v>
      </c>
      <c r="FR36" t="e">
        <f>AND(#REF!,"AAAAADa79q0=")</f>
        <v>#REF!</v>
      </c>
      <c r="FS36" t="e">
        <f>AND(#REF!,"AAAAADa79q4=")</f>
        <v>#REF!</v>
      </c>
      <c r="FT36" t="e">
        <f>AND(#REF!,"AAAAADa79q8=")</f>
        <v>#REF!</v>
      </c>
      <c r="FU36" t="e">
        <f>AND(#REF!,"AAAAADa79rA=")</f>
        <v>#REF!</v>
      </c>
      <c r="FV36" t="e">
        <f>IF(#REF!,"AAAAADa79rE=",0)</f>
        <v>#REF!</v>
      </c>
      <c r="FW36" t="e">
        <f>AND(#REF!,"AAAAADa79rI=")</f>
        <v>#REF!</v>
      </c>
      <c r="FX36" t="e">
        <f>AND(#REF!,"AAAAADa79rM=")</f>
        <v>#REF!</v>
      </c>
      <c r="FY36" t="e">
        <f>AND(#REF!,"AAAAADa79rQ=")</f>
        <v>#REF!</v>
      </c>
      <c r="FZ36" t="e">
        <f>AND(#REF!,"AAAAADa79rU=")</f>
        <v>#REF!</v>
      </c>
      <c r="GA36" t="e">
        <f>AND(#REF!,"AAAAADa79rY=")</f>
        <v>#REF!</v>
      </c>
      <c r="GB36" t="e">
        <f>AND(#REF!,"AAAAADa79rc=")</f>
        <v>#REF!</v>
      </c>
      <c r="GC36" t="e">
        <f>AND(#REF!,"AAAAADa79rg=")</f>
        <v>#REF!</v>
      </c>
      <c r="GD36" t="e">
        <f>AND(#REF!,"AAAAADa79rk=")</f>
        <v>#REF!</v>
      </c>
      <c r="GE36" t="e">
        <f>AND(#REF!,"AAAAADa79ro=")</f>
        <v>#REF!</v>
      </c>
      <c r="GF36" t="e">
        <f>AND(#REF!,"AAAAADa79rs=")</f>
        <v>#REF!</v>
      </c>
      <c r="GG36" t="e">
        <f>AND(#REF!,"AAAAADa79rw=")</f>
        <v>#REF!</v>
      </c>
      <c r="GH36" t="e">
        <f>AND(#REF!,"AAAAADa79r0=")</f>
        <v>#REF!</v>
      </c>
      <c r="GI36" t="e">
        <f>AND(#REF!,"AAAAADa79r4=")</f>
        <v>#REF!</v>
      </c>
      <c r="GJ36" t="e">
        <f>AND(#REF!,"AAAAADa79r8=")</f>
        <v>#REF!</v>
      </c>
      <c r="GK36" t="e">
        <f>AND(#REF!,"AAAAADa79sA=")</f>
        <v>#REF!</v>
      </c>
      <c r="GL36" t="e">
        <f>AND(#REF!,"AAAAADa79sE=")</f>
        <v>#REF!</v>
      </c>
      <c r="GM36" t="e">
        <f>AND(#REF!,"AAAAADa79sI=")</f>
        <v>#REF!</v>
      </c>
      <c r="GN36" t="e">
        <f>AND(#REF!,"AAAAADa79sM=")</f>
        <v>#REF!</v>
      </c>
      <c r="GO36" t="e">
        <f>AND(#REF!,"AAAAADa79sQ=")</f>
        <v>#REF!</v>
      </c>
      <c r="GP36" t="e">
        <f>AND(#REF!,"AAAAADa79sU=")</f>
        <v>#REF!</v>
      </c>
      <c r="GQ36" t="e">
        <f>IF(#REF!,"AAAAADa79sY=",0)</f>
        <v>#REF!</v>
      </c>
      <c r="GR36" t="e">
        <f>AND(#REF!,"AAAAADa79sc=")</f>
        <v>#REF!</v>
      </c>
      <c r="GS36" t="e">
        <f>AND(#REF!,"AAAAADa79sg=")</f>
        <v>#REF!</v>
      </c>
      <c r="GT36" t="e">
        <f>AND(#REF!,"AAAAADa79sk=")</f>
        <v>#REF!</v>
      </c>
      <c r="GU36" t="e">
        <f>AND(#REF!,"AAAAADa79so=")</f>
        <v>#REF!</v>
      </c>
      <c r="GV36" t="e">
        <f>AND(#REF!,"AAAAADa79ss=")</f>
        <v>#REF!</v>
      </c>
      <c r="GW36" t="e">
        <f>AND(#REF!,"AAAAADa79sw=")</f>
        <v>#REF!</v>
      </c>
      <c r="GX36" t="e">
        <f>AND(#REF!,"AAAAADa79s0=")</f>
        <v>#REF!</v>
      </c>
      <c r="GY36" t="e">
        <f>AND(#REF!,"AAAAADa79s4=")</f>
        <v>#REF!</v>
      </c>
      <c r="GZ36" t="e">
        <f>AND(#REF!,"AAAAADa79s8=")</f>
        <v>#REF!</v>
      </c>
      <c r="HA36" t="e">
        <f>AND(#REF!,"AAAAADa79tA=")</f>
        <v>#REF!</v>
      </c>
      <c r="HB36" t="e">
        <f>AND(#REF!,"AAAAADa79tE=")</f>
        <v>#REF!</v>
      </c>
      <c r="HC36" t="e">
        <f>AND(#REF!,"AAAAADa79tI=")</f>
        <v>#REF!</v>
      </c>
      <c r="HD36" t="e">
        <f>AND(#REF!,"AAAAADa79tM=")</f>
        <v>#REF!</v>
      </c>
      <c r="HE36" t="e">
        <f>AND(#REF!,"AAAAADa79tQ=")</f>
        <v>#REF!</v>
      </c>
      <c r="HF36" t="e">
        <f>AND(#REF!,"AAAAADa79tU=")</f>
        <v>#REF!</v>
      </c>
      <c r="HG36" t="e">
        <f>AND(#REF!,"AAAAADa79tY=")</f>
        <v>#REF!</v>
      </c>
      <c r="HH36" t="e">
        <f>AND(#REF!,"AAAAADa79tc=")</f>
        <v>#REF!</v>
      </c>
      <c r="HI36" t="e">
        <f>AND(#REF!,"AAAAADa79tg=")</f>
        <v>#REF!</v>
      </c>
      <c r="HJ36" t="e">
        <f>AND(#REF!,"AAAAADa79tk=")</f>
        <v>#REF!</v>
      </c>
      <c r="HK36" t="e">
        <f>AND(#REF!,"AAAAADa79to=")</f>
        <v>#REF!</v>
      </c>
      <c r="HL36" t="e">
        <f>IF(#REF!,"AAAAADa79ts=",0)</f>
        <v>#REF!</v>
      </c>
      <c r="HM36" t="e">
        <f>AND(#REF!,"AAAAADa79tw=")</f>
        <v>#REF!</v>
      </c>
      <c r="HN36" t="e">
        <f>AND(#REF!,"AAAAADa79t0=")</f>
        <v>#REF!</v>
      </c>
      <c r="HO36" t="e">
        <f>AND(#REF!,"AAAAADa79t4=")</f>
        <v>#REF!</v>
      </c>
      <c r="HP36" t="e">
        <f>AND(#REF!,"AAAAADa79t8=")</f>
        <v>#REF!</v>
      </c>
      <c r="HQ36" t="e">
        <f>AND(#REF!,"AAAAADa79uA=")</f>
        <v>#REF!</v>
      </c>
      <c r="HR36" t="e">
        <f>AND(#REF!,"AAAAADa79uE=")</f>
        <v>#REF!</v>
      </c>
      <c r="HS36" t="e">
        <f>AND(#REF!,"AAAAADa79uI=")</f>
        <v>#REF!</v>
      </c>
      <c r="HT36" t="e">
        <f>AND(#REF!,"AAAAADa79uM=")</f>
        <v>#REF!</v>
      </c>
      <c r="HU36" t="e">
        <f>AND(#REF!,"AAAAADa79uQ=")</f>
        <v>#REF!</v>
      </c>
      <c r="HV36" t="e">
        <f>AND(#REF!,"AAAAADa79uU=")</f>
        <v>#REF!</v>
      </c>
      <c r="HW36" t="e">
        <f>AND(#REF!,"AAAAADa79uY=")</f>
        <v>#REF!</v>
      </c>
      <c r="HX36" t="e">
        <f>AND(#REF!,"AAAAADa79uc=")</f>
        <v>#REF!</v>
      </c>
      <c r="HY36" t="e">
        <f>AND(#REF!,"AAAAADa79ug=")</f>
        <v>#REF!</v>
      </c>
      <c r="HZ36" t="e">
        <f>AND(#REF!,"AAAAADa79uk=")</f>
        <v>#REF!</v>
      </c>
      <c r="IA36" t="e">
        <f>AND(#REF!,"AAAAADa79uo=")</f>
        <v>#REF!</v>
      </c>
      <c r="IB36" t="e">
        <f>AND(#REF!,"AAAAADa79us=")</f>
        <v>#REF!</v>
      </c>
      <c r="IC36" t="e">
        <f>AND(#REF!,"AAAAADa79uw=")</f>
        <v>#REF!</v>
      </c>
      <c r="ID36" t="e">
        <f>AND(#REF!,"AAAAADa79u0=")</f>
        <v>#REF!</v>
      </c>
      <c r="IE36" t="e">
        <f>AND(#REF!,"AAAAADa79u4=")</f>
        <v>#REF!</v>
      </c>
      <c r="IF36" t="e">
        <f>AND(#REF!,"AAAAADa79u8=")</f>
        <v>#REF!</v>
      </c>
      <c r="IG36" t="e">
        <f>IF(#REF!,"AAAAADa79vA=",0)</f>
        <v>#REF!</v>
      </c>
      <c r="IH36" t="e">
        <f>AND(#REF!,"AAAAADa79vE=")</f>
        <v>#REF!</v>
      </c>
      <c r="II36" t="e">
        <f>AND(#REF!,"AAAAADa79vI=")</f>
        <v>#REF!</v>
      </c>
      <c r="IJ36" t="e">
        <f>AND(#REF!,"AAAAADa79vM=")</f>
        <v>#REF!</v>
      </c>
      <c r="IK36" t="e">
        <f>AND(#REF!,"AAAAADa79vQ=")</f>
        <v>#REF!</v>
      </c>
      <c r="IL36" t="e">
        <f>AND(#REF!,"AAAAADa79vU=")</f>
        <v>#REF!</v>
      </c>
      <c r="IM36" t="e">
        <f>AND(#REF!,"AAAAADa79vY=")</f>
        <v>#REF!</v>
      </c>
      <c r="IN36" t="e">
        <f>AND(#REF!,"AAAAADa79vc=")</f>
        <v>#REF!</v>
      </c>
      <c r="IO36" t="e">
        <f>AND(#REF!,"AAAAADa79vg=")</f>
        <v>#REF!</v>
      </c>
      <c r="IP36" t="e">
        <f>AND(#REF!,"AAAAADa79vk=")</f>
        <v>#REF!</v>
      </c>
      <c r="IQ36" t="e">
        <f>AND(#REF!,"AAAAADa79vo=")</f>
        <v>#REF!</v>
      </c>
      <c r="IR36" t="e">
        <f>AND(#REF!,"AAAAADa79vs=")</f>
        <v>#REF!</v>
      </c>
      <c r="IS36" t="e">
        <f>AND(#REF!,"AAAAADa79vw=")</f>
        <v>#REF!</v>
      </c>
      <c r="IT36" t="e">
        <f>AND(#REF!,"AAAAADa79v0=")</f>
        <v>#REF!</v>
      </c>
      <c r="IU36" t="e">
        <f>AND(#REF!,"AAAAADa79v4=")</f>
        <v>#REF!</v>
      </c>
      <c r="IV36" t="e">
        <f>AND(#REF!,"AAAAADa79v8=")</f>
        <v>#REF!</v>
      </c>
    </row>
    <row r="37" spans="1:256" x14ac:dyDescent="0.25">
      <c r="A37" t="e">
        <f>AND(#REF!,"AAAAAF//vQA=")</f>
        <v>#REF!</v>
      </c>
      <c r="B37" t="e">
        <f>AND(#REF!,"AAAAAF//vQE=")</f>
        <v>#REF!</v>
      </c>
      <c r="C37" t="e">
        <f>AND(#REF!,"AAAAAF//vQI=")</f>
        <v>#REF!</v>
      </c>
      <c r="D37" t="e">
        <f>AND(#REF!,"AAAAAF//vQM=")</f>
        <v>#REF!</v>
      </c>
      <c r="E37" t="e">
        <f>AND(#REF!,"AAAAAF//vQQ=")</f>
        <v>#REF!</v>
      </c>
      <c r="F37" t="e">
        <f>IF(#REF!,"AAAAAF//vQU=",0)</f>
        <v>#REF!</v>
      </c>
      <c r="G37" t="e">
        <f>AND(#REF!,"AAAAAF//vQY=")</f>
        <v>#REF!</v>
      </c>
      <c r="H37" t="e">
        <f>AND(#REF!,"AAAAAF//vQc=")</f>
        <v>#REF!</v>
      </c>
      <c r="I37" t="e">
        <f>AND(#REF!,"AAAAAF//vQg=")</f>
        <v>#REF!</v>
      </c>
      <c r="J37" t="e">
        <f>AND(#REF!,"AAAAAF//vQk=")</f>
        <v>#REF!</v>
      </c>
      <c r="K37" t="e">
        <f>AND(#REF!,"AAAAAF//vQo=")</f>
        <v>#REF!</v>
      </c>
      <c r="L37" t="e">
        <f>AND(#REF!,"AAAAAF//vQs=")</f>
        <v>#REF!</v>
      </c>
      <c r="M37" t="e">
        <f>AND(#REF!,"AAAAAF//vQw=")</f>
        <v>#REF!</v>
      </c>
      <c r="N37" t="e">
        <f>AND(#REF!,"AAAAAF//vQ0=")</f>
        <v>#REF!</v>
      </c>
      <c r="O37" t="e">
        <f>AND(#REF!,"AAAAAF//vQ4=")</f>
        <v>#REF!</v>
      </c>
      <c r="P37" t="e">
        <f>AND(#REF!,"AAAAAF//vQ8=")</f>
        <v>#REF!</v>
      </c>
      <c r="Q37" t="e">
        <f>AND(#REF!,"AAAAAF//vRA=")</f>
        <v>#REF!</v>
      </c>
      <c r="R37" t="e">
        <f>AND(#REF!,"AAAAAF//vRE=")</f>
        <v>#REF!</v>
      </c>
      <c r="S37" t="e">
        <f>AND(#REF!,"AAAAAF//vRI=")</f>
        <v>#REF!</v>
      </c>
      <c r="T37" t="e">
        <f>AND(#REF!,"AAAAAF//vRM=")</f>
        <v>#REF!</v>
      </c>
      <c r="U37" t="e">
        <f>AND(#REF!,"AAAAAF//vRQ=")</f>
        <v>#REF!</v>
      </c>
      <c r="V37" t="e">
        <f>AND(#REF!,"AAAAAF//vRU=")</f>
        <v>#REF!</v>
      </c>
      <c r="W37" t="e">
        <f>AND(#REF!,"AAAAAF//vRY=")</f>
        <v>#REF!</v>
      </c>
      <c r="X37" t="e">
        <f>AND(#REF!,"AAAAAF//vRc=")</f>
        <v>#REF!</v>
      </c>
      <c r="Y37" t="e">
        <f>AND(#REF!,"AAAAAF//vRg=")</f>
        <v>#REF!</v>
      </c>
      <c r="Z37" t="e">
        <f>AND(#REF!,"AAAAAF//vRk=")</f>
        <v>#REF!</v>
      </c>
      <c r="AA37" t="e">
        <f>IF(#REF!,"AAAAAF//vRo=",0)</f>
        <v>#REF!</v>
      </c>
      <c r="AB37" t="e">
        <f>AND(#REF!,"AAAAAF//vRs=")</f>
        <v>#REF!</v>
      </c>
      <c r="AC37" t="e">
        <f>AND(#REF!,"AAAAAF//vRw=")</f>
        <v>#REF!</v>
      </c>
      <c r="AD37" t="e">
        <f>AND(#REF!,"AAAAAF//vR0=")</f>
        <v>#REF!</v>
      </c>
      <c r="AE37" t="e">
        <f>AND(#REF!,"AAAAAF//vR4=")</f>
        <v>#REF!</v>
      </c>
      <c r="AF37" t="e">
        <f>AND(#REF!,"AAAAAF//vR8=")</f>
        <v>#REF!</v>
      </c>
      <c r="AG37" t="e">
        <f>AND(#REF!,"AAAAAF//vSA=")</f>
        <v>#REF!</v>
      </c>
      <c r="AH37" t="e">
        <f>AND(#REF!,"AAAAAF//vSE=")</f>
        <v>#REF!</v>
      </c>
      <c r="AI37" t="e">
        <f>AND(#REF!,"AAAAAF//vSI=")</f>
        <v>#REF!</v>
      </c>
      <c r="AJ37" t="e">
        <f>AND(#REF!,"AAAAAF//vSM=")</f>
        <v>#REF!</v>
      </c>
      <c r="AK37" t="e">
        <f>AND(#REF!,"AAAAAF//vSQ=")</f>
        <v>#REF!</v>
      </c>
      <c r="AL37" t="e">
        <f>AND(#REF!,"AAAAAF//vSU=")</f>
        <v>#REF!</v>
      </c>
      <c r="AM37" t="e">
        <f>AND(#REF!,"AAAAAF//vSY=")</f>
        <v>#REF!</v>
      </c>
      <c r="AN37" t="e">
        <f>AND(#REF!,"AAAAAF//vSc=")</f>
        <v>#REF!</v>
      </c>
      <c r="AO37" t="e">
        <f>AND(#REF!,"AAAAAF//vSg=")</f>
        <v>#REF!</v>
      </c>
      <c r="AP37" t="e">
        <f>AND(#REF!,"AAAAAF//vSk=")</f>
        <v>#REF!</v>
      </c>
      <c r="AQ37" t="e">
        <f>AND(#REF!,"AAAAAF//vSo=")</f>
        <v>#REF!</v>
      </c>
      <c r="AR37" t="e">
        <f>AND(#REF!,"AAAAAF//vSs=")</f>
        <v>#REF!</v>
      </c>
      <c r="AS37" t="e">
        <f>AND(#REF!,"AAAAAF//vSw=")</f>
        <v>#REF!</v>
      </c>
      <c r="AT37" t="e">
        <f>AND(#REF!,"AAAAAF//vS0=")</f>
        <v>#REF!</v>
      </c>
      <c r="AU37" t="e">
        <f>AND(#REF!,"AAAAAF//vS4=")</f>
        <v>#REF!</v>
      </c>
      <c r="AV37" t="e">
        <f>IF(#REF!,"AAAAAF//vS8=",0)</f>
        <v>#REF!</v>
      </c>
      <c r="AW37" t="e">
        <f>AND(#REF!,"AAAAAF//vTA=")</f>
        <v>#REF!</v>
      </c>
      <c r="AX37" t="e">
        <f>AND(#REF!,"AAAAAF//vTE=")</f>
        <v>#REF!</v>
      </c>
      <c r="AY37" t="e">
        <f>AND(#REF!,"AAAAAF//vTI=")</f>
        <v>#REF!</v>
      </c>
      <c r="AZ37" t="e">
        <f>AND(#REF!,"AAAAAF//vTM=")</f>
        <v>#REF!</v>
      </c>
      <c r="BA37" t="e">
        <f>AND(#REF!,"AAAAAF//vTQ=")</f>
        <v>#REF!</v>
      </c>
      <c r="BB37" t="e">
        <f>AND(#REF!,"AAAAAF//vTU=")</f>
        <v>#REF!</v>
      </c>
      <c r="BC37" t="e">
        <f>AND(#REF!,"AAAAAF//vTY=")</f>
        <v>#REF!</v>
      </c>
      <c r="BD37" t="e">
        <f>AND(#REF!,"AAAAAF//vTc=")</f>
        <v>#REF!</v>
      </c>
      <c r="BE37" t="e">
        <f>AND(#REF!,"AAAAAF//vTg=")</f>
        <v>#REF!</v>
      </c>
      <c r="BF37" t="e">
        <f>AND(#REF!,"AAAAAF//vTk=")</f>
        <v>#REF!</v>
      </c>
      <c r="BG37" t="e">
        <f>AND(#REF!,"AAAAAF//vTo=")</f>
        <v>#REF!</v>
      </c>
      <c r="BH37" t="e">
        <f>AND(#REF!,"AAAAAF//vTs=")</f>
        <v>#REF!</v>
      </c>
      <c r="BI37" t="e">
        <f>AND(#REF!,"AAAAAF//vTw=")</f>
        <v>#REF!</v>
      </c>
      <c r="BJ37" t="e">
        <f>AND(#REF!,"AAAAAF//vT0=")</f>
        <v>#REF!</v>
      </c>
      <c r="BK37" t="e">
        <f>AND(#REF!,"AAAAAF//vT4=")</f>
        <v>#REF!</v>
      </c>
      <c r="BL37" t="e">
        <f>AND(#REF!,"AAAAAF//vT8=")</f>
        <v>#REF!</v>
      </c>
      <c r="BM37" t="e">
        <f>AND(#REF!,"AAAAAF//vUA=")</f>
        <v>#REF!</v>
      </c>
      <c r="BN37" t="e">
        <f>AND(#REF!,"AAAAAF//vUE=")</f>
        <v>#REF!</v>
      </c>
      <c r="BO37" t="e">
        <f>AND(#REF!,"AAAAAF//vUI=")</f>
        <v>#REF!</v>
      </c>
      <c r="BP37" t="e">
        <f>AND(#REF!,"AAAAAF//vUM=")</f>
        <v>#REF!</v>
      </c>
      <c r="BQ37" t="e">
        <f>IF(#REF!,"AAAAAF//vUQ=",0)</f>
        <v>#REF!</v>
      </c>
      <c r="BR37" t="e">
        <f>AND(#REF!,"AAAAAF//vUU=")</f>
        <v>#REF!</v>
      </c>
      <c r="BS37" t="e">
        <f>AND(#REF!,"AAAAAF//vUY=")</f>
        <v>#REF!</v>
      </c>
      <c r="BT37" t="e">
        <f>AND(#REF!,"AAAAAF//vUc=")</f>
        <v>#REF!</v>
      </c>
      <c r="BU37" t="e">
        <f>AND(#REF!,"AAAAAF//vUg=")</f>
        <v>#REF!</v>
      </c>
      <c r="BV37" t="e">
        <f>AND(#REF!,"AAAAAF//vUk=")</f>
        <v>#REF!</v>
      </c>
      <c r="BW37" t="e">
        <f>AND(#REF!,"AAAAAF//vUo=")</f>
        <v>#REF!</v>
      </c>
      <c r="BX37" t="e">
        <f>AND(#REF!,"AAAAAF//vUs=")</f>
        <v>#REF!</v>
      </c>
      <c r="BY37" t="e">
        <f>AND(#REF!,"AAAAAF//vUw=")</f>
        <v>#REF!</v>
      </c>
      <c r="BZ37" t="e">
        <f>AND(#REF!,"AAAAAF//vU0=")</f>
        <v>#REF!</v>
      </c>
      <c r="CA37" t="e">
        <f>AND(#REF!,"AAAAAF//vU4=")</f>
        <v>#REF!</v>
      </c>
      <c r="CB37" t="e">
        <f>AND(#REF!,"AAAAAF//vU8=")</f>
        <v>#REF!</v>
      </c>
      <c r="CC37" t="e">
        <f>AND(#REF!,"AAAAAF//vVA=")</f>
        <v>#REF!</v>
      </c>
      <c r="CD37" t="e">
        <f>AND(#REF!,"AAAAAF//vVE=")</f>
        <v>#REF!</v>
      </c>
      <c r="CE37" t="e">
        <f>AND(#REF!,"AAAAAF//vVI=")</f>
        <v>#REF!</v>
      </c>
      <c r="CF37" t="e">
        <f>AND(#REF!,"AAAAAF//vVM=")</f>
        <v>#REF!</v>
      </c>
      <c r="CG37" t="e">
        <f>AND(#REF!,"AAAAAF//vVQ=")</f>
        <v>#REF!</v>
      </c>
      <c r="CH37" t="e">
        <f>AND(#REF!,"AAAAAF//vVU=")</f>
        <v>#REF!</v>
      </c>
      <c r="CI37" t="e">
        <f>AND(#REF!,"AAAAAF//vVY=")</f>
        <v>#REF!</v>
      </c>
      <c r="CJ37" t="e">
        <f>AND(#REF!,"AAAAAF//vVc=")</f>
        <v>#REF!</v>
      </c>
      <c r="CK37" t="e">
        <f>AND(#REF!,"AAAAAF//vVg=")</f>
        <v>#REF!</v>
      </c>
      <c r="CL37" t="e">
        <f>IF(#REF!,"AAAAAF//vVk=",0)</f>
        <v>#REF!</v>
      </c>
      <c r="CM37" t="e">
        <f>AND(#REF!,"AAAAAF//vVo=")</f>
        <v>#REF!</v>
      </c>
      <c r="CN37" t="e">
        <f>AND(#REF!,"AAAAAF//vVs=")</f>
        <v>#REF!</v>
      </c>
      <c r="CO37" t="e">
        <f>AND(#REF!,"AAAAAF//vVw=")</f>
        <v>#REF!</v>
      </c>
      <c r="CP37" t="e">
        <f>AND(#REF!,"AAAAAF//vV0=")</f>
        <v>#REF!</v>
      </c>
      <c r="CQ37" t="e">
        <f>AND(#REF!,"AAAAAF//vV4=")</f>
        <v>#REF!</v>
      </c>
      <c r="CR37" t="e">
        <f>AND(#REF!,"AAAAAF//vV8=")</f>
        <v>#REF!</v>
      </c>
      <c r="CS37" t="e">
        <f>AND(#REF!,"AAAAAF//vWA=")</f>
        <v>#REF!</v>
      </c>
      <c r="CT37" t="e">
        <f>AND(#REF!,"AAAAAF//vWE=")</f>
        <v>#REF!</v>
      </c>
      <c r="CU37" t="e">
        <f>AND(#REF!,"AAAAAF//vWI=")</f>
        <v>#REF!</v>
      </c>
      <c r="CV37" t="e">
        <f>AND(#REF!,"AAAAAF//vWM=")</f>
        <v>#REF!</v>
      </c>
      <c r="CW37" t="e">
        <f>AND(#REF!,"AAAAAF//vWQ=")</f>
        <v>#REF!</v>
      </c>
      <c r="CX37" t="e">
        <f>AND(#REF!,"AAAAAF//vWU=")</f>
        <v>#REF!</v>
      </c>
      <c r="CY37" t="e">
        <f>AND(#REF!,"AAAAAF//vWY=")</f>
        <v>#REF!</v>
      </c>
      <c r="CZ37" t="e">
        <f>AND(#REF!,"AAAAAF//vWc=")</f>
        <v>#REF!</v>
      </c>
      <c r="DA37" t="e">
        <f>AND(#REF!,"AAAAAF//vWg=")</f>
        <v>#REF!</v>
      </c>
      <c r="DB37" t="e">
        <f>AND(#REF!,"AAAAAF//vWk=")</f>
        <v>#REF!</v>
      </c>
      <c r="DC37" t="e">
        <f>AND(#REF!,"AAAAAF//vWo=")</f>
        <v>#REF!</v>
      </c>
      <c r="DD37" t="e">
        <f>AND(#REF!,"AAAAAF//vWs=")</f>
        <v>#REF!</v>
      </c>
      <c r="DE37" t="e">
        <f>AND(#REF!,"AAAAAF//vWw=")</f>
        <v>#REF!</v>
      </c>
      <c r="DF37" t="e">
        <f>AND(#REF!,"AAAAAF//vW0=")</f>
        <v>#REF!</v>
      </c>
      <c r="DG37" t="e">
        <f>IF(#REF!,"AAAAAF//vW4=",0)</f>
        <v>#REF!</v>
      </c>
      <c r="DH37" t="e">
        <f>AND(#REF!,"AAAAAF//vW8=")</f>
        <v>#REF!</v>
      </c>
      <c r="DI37" t="e">
        <f>AND(#REF!,"AAAAAF//vXA=")</f>
        <v>#REF!</v>
      </c>
      <c r="DJ37" t="e">
        <f>AND(#REF!,"AAAAAF//vXE=")</f>
        <v>#REF!</v>
      </c>
      <c r="DK37" t="e">
        <f>AND(#REF!,"AAAAAF//vXI=")</f>
        <v>#REF!</v>
      </c>
      <c r="DL37" t="e">
        <f>AND(#REF!,"AAAAAF//vXM=")</f>
        <v>#REF!</v>
      </c>
      <c r="DM37" t="e">
        <f>AND(#REF!,"AAAAAF//vXQ=")</f>
        <v>#REF!</v>
      </c>
      <c r="DN37" t="e">
        <f>AND(#REF!,"AAAAAF//vXU=")</f>
        <v>#REF!</v>
      </c>
      <c r="DO37" t="e">
        <f>AND(#REF!,"AAAAAF//vXY=")</f>
        <v>#REF!</v>
      </c>
      <c r="DP37" t="e">
        <f>AND(#REF!,"AAAAAF//vXc=")</f>
        <v>#REF!</v>
      </c>
      <c r="DQ37" t="e">
        <f>AND(#REF!,"AAAAAF//vXg=")</f>
        <v>#REF!</v>
      </c>
      <c r="DR37" t="e">
        <f>AND(#REF!,"AAAAAF//vXk=")</f>
        <v>#REF!</v>
      </c>
      <c r="DS37" t="e">
        <f>AND(#REF!,"AAAAAF//vXo=")</f>
        <v>#REF!</v>
      </c>
      <c r="DT37" t="e">
        <f>AND(#REF!,"AAAAAF//vXs=")</f>
        <v>#REF!</v>
      </c>
      <c r="DU37" t="e">
        <f>AND(#REF!,"AAAAAF//vXw=")</f>
        <v>#REF!</v>
      </c>
      <c r="DV37" t="e">
        <f>AND(#REF!,"AAAAAF//vX0=")</f>
        <v>#REF!</v>
      </c>
      <c r="DW37" t="e">
        <f>AND(#REF!,"AAAAAF//vX4=")</f>
        <v>#REF!</v>
      </c>
      <c r="DX37" t="e">
        <f>AND(#REF!,"AAAAAF//vX8=")</f>
        <v>#REF!</v>
      </c>
      <c r="DY37" t="e">
        <f>AND(#REF!,"AAAAAF//vYA=")</f>
        <v>#REF!</v>
      </c>
      <c r="DZ37" t="e">
        <f>AND(#REF!,"AAAAAF//vYE=")</f>
        <v>#REF!</v>
      </c>
      <c r="EA37" t="e">
        <f>AND(#REF!,"AAAAAF//vYI=")</f>
        <v>#REF!</v>
      </c>
      <c r="EB37" t="e">
        <f>IF(#REF!,"AAAAAF//vYM=",0)</f>
        <v>#REF!</v>
      </c>
      <c r="EC37" t="e">
        <f>AND(#REF!,"AAAAAF//vYQ=")</f>
        <v>#REF!</v>
      </c>
      <c r="ED37" t="e">
        <f>AND(#REF!,"AAAAAF//vYU=")</f>
        <v>#REF!</v>
      </c>
      <c r="EE37" t="e">
        <f>AND(#REF!,"AAAAAF//vYY=")</f>
        <v>#REF!</v>
      </c>
      <c r="EF37" t="e">
        <f>AND(#REF!,"AAAAAF//vYc=")</f>
        <v>#REF!</v>
      </c>
      <c r="EG37" t="e">
        <f>AND(#REF!,"AAAAAF//vYg=")</f>
        <v>#REF!</v>
      </c>
      <c r="EH37" t="e">
        <f>AND(#REF!,"AAAAAF//vYk=")</f>
        <v>#REF!</v>
      </c>
      <c r="EI37" t="e">
        <f>AND(#REF!,"AAAAAF//vYo=")</f>
        <v>#REF!</v>
      </c>
      <c r="EJ37" t="e">
        <f>AND(#REF!,"AAAAAF//vYs=")</f>
        <v>#REF!</v>
      </c>
      <c r="EK37" t="e">
        <f>AND(#REF!,"AAAAAF//vYw=")</f>
        <v>#REF!</v>
      </c>
      <c r="EL37" t="e">
        <f>AND(#REF!,"AAAAAF//vY0=")</f>
        <v>#REF!</v>
      </c>
      <c r="EM37" t="e">
        <f>AND(#REF!,"AAAAAF//vY4=")</f>
        <v>#REF!</v>
      </c>
      <c r="EN37" t="e">
        <f>AND(#REF!,"AAAAAF//vY8=")</f>
        <v>#REF!</v>
      </c>
      <c r="EO37" t="e">
        <f>AND(#REF!,"AAAAAF//vZA=")</f>
        <v>#REF!</v>
      </c>
      <c r="EP37" t="e">
        <f>AND(#REF!,"AAAAAF//vZE=")</f>
        <v>#REF!</v>
      </c>
      <c r="EQ37" t="e">
        <f>AND(#REF!,"AAAAAF//vZI=")</f>
        <v>#REF!</v>
      </c>
      <c r="ER37" t="e">
        <f>AND(#REF!,"AAAAAF//vZM=")</f>
        <v>#REF!</v>
      </c>
      <c r="ES37" t="e">
        <f>AND(#REF!,"AAAAAF//vZQ=")</f>
        <v>#REF!</v>
      </c>
      <c r="ET37" t="e">
        <f>AND(#REF!,"AAAAAF//vZU=")</f>
        <v>#REF!</v>
      </c>
      <c r="EU37" t="e">
        <f>AND(#REF!,"AAAAAF//vZY=")</f>
        <v>#REF!</v>
      </c>
      <c r="EV37" t="e">
        <f>AND(#REF!,"AAAAAF//vZc=")</f>
        <v>#REF!</v>
      </c>
      <c r="EW37" t="e">
        <f>IF(#REF!,"AAAAAF//vZg=",0)</f>
        <v>#REF!</v>
      </c>
      <c r="EX37" t="e">
        <f>AND(#REF!,"AAAAAF//vZk=")</f>
        <v>#REF!</v>
      </c>
      <c r="EY37" t="e">
        <f>AND(#REF!,"AAAAAF//vZo=")</f>
        <v>#REF!</v>
      </c>
      <c r="EZ37" t="e">
        <f>AND(#REF!,"AAAAAF//vZs=")</f>
        <v>#REF!</v>
      </c>
      <c r="FA37" t="e">
        <f>AND(#REF!,"AAAAAF//vZw=")</f>
        <v>#REF!</v>
      </c>
      <c r="FB37" t="e">
        <f>AND(#REF!,"AAAAAF//vZ0=")</f>
        <v>#REF!</v>
      </c>
      <c r="FC37" t="e">
        <f>AND(#REF!,"AAAAAF//vZ4=")</f>
        <v>#REF!</v>
      </c>
      <c r="FD37" t="e">
        <f>AND(#REF!,"AAAAAF//vZ8=")</f>
        <v>#REF!</v>
      </c>
      <c r="FE37" t="e">
        <f>AND(#REF!,"AAAAAF//vaA=")</f>
        <v>#REF!</v>
      </c>
      <c r="FF37" t="e">
        <f>AND(#REF!,"AAAAAF//vaE=")</f>
        <v>#REF!</v>
      </c>
      <c r="FG37" t="e">
        <f>AND(#REF!,"AAAAAF//vaI=")</f>
        <v>#REF!</v>
      </c>
      <c r="FH37" t="e">
        <f>AND(#REF!,"AAAAAF//vaM=")</f>
        <v>#REF!</v>
      </c>
      <c r="FI37" t="e">
        <f>AND(#REF!,"AAAAAF//vaQ=")</f>
        <v>#REF!</v>
      </c>
      <c r="FJ37" t="e">
        <f>AND(#REF!,"AAAAAF//vaU=")</f>
        <v>#REF!</v>
      </c>
      <c r="FK37" t="e">
        <f>AND(#REF!,"AAAAAF//vaY=")</f>
        <v>#REF!</v>
      </c>
      <c r="FL37" t="e">
        <f>AND(#REF!,"AAAAAF//vac=")</f>
        <v>#REF!</v>
      </c>
      <c r="FM37" t="e">
        <f>AND(#REF!,"AAAAAF//vag=")</f>
        <v>#REF!</v>
      </c>
      <c r="FN37" t="e">
        <f>AND(#REF!,"AAAAAF//vak=")</f>
        <v>#REF!</v>
      </c>
      <c r="FO37" t="e">
        <f>AND(#REF!,"AAAAAF//vao=")</f>
        <v>#REF!</v>
      </c>
      <c r="FP37" t="e">
        <f>AND(#REF!,"AAAAAF//vas=")</f>
        <v>#REF!</v>
      </c>
      <c r="FQ37" t="e">
        <f>AND(#REF!,"AAAAAF//vaw=")</f>
        <v>#REF!</v>
      </c>
      <c r="FR37" t="e">
        <f>IF(#REF!,"AAAAAF//va0=",0)</f>
        <v>#REF!</v>
      </c>
      <c r="FS37" t="e">
        <f>AND(#REF!,"AAAAAF//va4=")</f>
        <v>#REF!</v>
      </c>
      <c r="FT37" t="e">
        <f>AND(#REF!,"AAAAAF//va8=")</f>
        <v>#REF!</v>
      </c>
      <c r="FU37" t="e">
        <f>AND(#REF!,"AAAAAF//vbA=")</f>
        <v>#REF!</v>
      </c>
      <c r="FV37" t="e">
        <f>AND(#REF!,"AAAAAF//vbE=")</f>
        <v>#REF!</v>
      </c>
      <c r="FW37" t="e">
        <f>AND(#REF!,"AAAAAF//vbI=")</f>
        <v>#REF!</v>
      </c>
      <c r="FX37" t="e">
        <f>AND(#REF!,"AAAAAF//vbM=")</f>
        <v>#REF!</v>
      </c>
      <c r="FY37" t="e">
        <f>AND(#REF!,"AAAAAF//vbQ=")</f>
        <v>#REF!</v>
      </c>
      <c r="FZ37" t="e">
        <f>AND(#REF!,"AAAAAF//vbU=")</f>
        <v>#REF!</v>
      </c>
      <c r="GA37" t="e">
        <f>AND(#REF!,"AAAAAF//vbY=")</f>
        <v>#REF!</v>
      </c>
      <c r="GB37" t="e">
        <f>AND(#REF!,"AAAAAF//vbc=")</f>
        <v>#REF!</v>
      </c>
      <c r="GC37" t="e">
        <f>AND(#REF!,"AAAAAF//vbg=")</f>
        <v>#REF!</v>
      </c>
      <c r="GD37" t="e">
        <f>AND(#REF!,"AAAAAF//vbk=")</f>
        <v>#REF!</v>
      </c>
      <c r="GE37" t="e">
        <f>AND(#REF!,"AAAAAF//vbo=")</f>
        <v>#REF!</v>
      </c>
      <c r="GF37" t="e">
        <f>AND(#REF!,"AAAAAF//vbs=")</f>
        <v>#REF!</v>
      </c>
      <c r="GG37" t="e">
        <f>AND(#REF!,"AAAAAF//vbw=")</f>
        <v>#REF!</v>
      </c>
      <c r="GH37" t="e">
        <f>AND(#REF!,"AAAAAF//vb0=")</f>
        <v>#REF!</v>
      </c>
      <c r="GI37" t="e">
        <f>AND(#REF!,"AAAAAF//vb4=")</f>
        <v>#REF!</v>
      </c>
      <c r="GJ37" t="e">
        <f>AND(#REF!,"AAAAAF//vb8=")</f>
        <v>#REF!</v>
      </c>
      <c r="GK37" t="e">
        <f>AND(#REF!,"AAAAAF//vcA=")</f>
        <v>#REF!</v>
      </c>
      <c r="GL37" t="e">
        <f>AND(#REF!,"AAAAAF//vcE=")</f>
        <v>#REF!</v>
      </c>
      <c r="GM37" t="e">
        <f>IF(#REF!,"AAAAAF//vcI=",0)</f>
        <v>#REF!</v>
      </c>
      <c r="GN37" t="e">
        <f>AND(#REF!,"AAAAAF//vcM=")</f>
        <v>#REF!</v>
      </c>
      <c r="GO37" t="e">
        <f>AND(#REF!,"AAAAAF//vcQ=")</f>
        <v>#REF!</v>
      </c>
      <c r="GP37" t="e">
        <f>AND(#REF!,"AAAAAF//vcU=")</f>
        <v>#REF!</v>
      </c>
      <c r="GQ37" t="e">
        <f>AND(#REF!,"AAAAAF//vcY=")</f>
        <v>#REF!</v>
      </c>
      <c r="GR37" t="e">
        <f>AND(#REF!,"AAAAAF//vcc=")</f>
        <v>#REF!</v>
      </c>
      <c r="GS37" t="e">
        <f>AND(#REF!,"AAAAAF//vcg=")</f>
        <v>#REF!</v>
      </c>
      <c r="GT37" t="e">
        <f>AND(#REF!,"AAAAAF//vck=")</f>
        <v>#REF!</v>
      </c>
      <c r="GU37" t="e">
        <f>AND(#REF!,"AAAAAF//vco=")</f>
        <v>#REF!</v>
      </c>
      <c r="GV37" t="e">
        <f>AND(#REF!,"AAAAAF//vcs=")</f>
        <v>#REF!</v>
      </c>
      <c r="GW37" t="e">
        <f>AND(#REF!,"AAAAAF//vcw=")</f>
        <v>#REF!</v>
      </c>
      <c r="GX37" t="e">
        <f>AND(#REF!,"AAAAAF//vc0=")</f>
        <v>#REF!</v>
      </c>
      <c r="GY37" t="e">
        <f>AND(#REF!,"AAAAAF//vc4=")</f>
        <v>#REF!</v>
      </c>
      <c r="GZ37" t="e">
        <f>AND(#REF!,"AAAAAF//vc8=")</f>
        <v>#REF!</v>
      </c>
      <c r="HA37" t="e">
        <f>AND(#REF!,"AAAAAF//vdA=")</f>
        <v>#REF!</v>
      </c>
      <c r="HB37" t="e">
        <f>AND(#REF!,"AAAAAF//vdE=")</f>
        <v>#REF!</v>
      </c>
      <c r="HC37" t="e">
        <f>AND(#REF!,"AAAAAF//vdI=")</f>
        <v>#REF!</v>
      </c>
      <c r="HD37" t="e">
        <f>AND(#REF!,"AAAAAF//vdM=")</f>
        <v>#REF!</v>
      </c>
      <c r="HE37" t="e">
        <f>AND(#REF!,"AAAAAF//vdQ=")</f>
        <v>#REF!</v>
      </c>
      <c r="HF37" t="e">
        <f>AND(#REF!,"AAAAAF//vdU=")</f>
        <v>#REF!</v>
      </c>
      <c r="HG37" t="e">
        <f>AND(#REF!,"AAAAAF//vdY=")</f>
        <v>#REF!</v>
      </c>
      <c r="HH37" t="e">
        <f>IF(#REF!,"AAAAAF//vdc=",0)</f>
        <v>#REF!</v>
      </c>
      <c r="HI37" t="e">
        <f>AND(#REF!,"AAAAAF//vdg=")</f>
        <v>#REF!</v>
      </c>
      <c r="HJ37" t="e">
        <f>AND(#REF!,"AAAAAF//vdk=")</f>
        <v>#REF!</v>
      </c>
      <c r="HK37" t="e">
        <f>AND(#REF!,"AAAAAF//vdo=")</f>
        <v>#REF!</v>
      </c>
      <c r="HL37" t="e">
        <f>AND(#REF!,"AAAAAF//vds=")</f>
        <v>#REF!</v>
      </c>
      <c r="HM37" t="e">
        <f>AND(#REF!,"AAAAAF//vdw=")</f>
        <v>#REF!</v>
      </c>
      <c r="HN37" t="e">
        <f>AND(#REF!,"AAAAAF//vd0=")</f>
        <v>#REF!</v>
      </c>
      <c r="HO37" t="e">
        <f>AND(#REF!,"AAAAAF//vd4=")</f>
        <v>#REF!</v>
      </c>
      <c r="HP37" t="e">
        <f>AND(#REF!,"AAAAAF//vd8=")</f>
        <v>#REF!</v>
      </c>
      <c r="HQ37" t="e">
        <f>AND(#REF!,"AAAAAF//veA=")</f>
        <v>#REF!</v>
      </c>
      <c r="HR37" t="e">
        <f>AND(#REF!,"AAAAAF//veE=")</f>
        <v>#REF!</v>
      </c>
      <c r="HS37" t="e">
        <f>AND(#REF!,"AAAAAF//veI=")</f>
        <v>#REF!</v>
      </c>
      <c r="HT37" t="e">
        <f>AND(#REF!,"AAAAAF//veM=")</f>
        <v>#REF!</v>
      </c>
      <c r="HU37" t="e">
        <f>AND(#REF!,"AAAAAF//veQ=")</f>
        <v>#REF!</v>
      </c>
      <c r="HV37" t="e">
        <f>AND(#REF!,"AAAAAF//veU=")</f>
        <v>#REF!</v>
      </c>
      <c r="HW37" t="e">
        <f>AND(#REF!,"AAAAAF//veY=")</f>
        <v>#REF!</v>
      </c>
      <c r="HX37" t="e">
        <f>AND(#REF!,"AAAAAF//vec=")</f>
        <v>#REF!</v>
      </c>
      <c r="HY37" t="e">
        <f>AND(#REF!,"AAAAAF//veg=")</f>
        <v>#REF!</v>
      </c>
      <c r="HZ37" t="e">
        <f>AND(#REF!,"AAAAAF//vek=")</f>
        <v>#REF!</v>
      </c>
      <c r="IA37" t="e">
        <f>AND(#REF!,"AAAAAF//veo=")</f>
        <v>#REF!</v>
      </c>
      <c r="IB37" t="e">
        <f>AND(#REF!,"AAAAAF//ves=")</f>
        <v>#REF!</v>
      </c>
      <c r="IC37" t="e">
        <f>IF(#REF!,"AAAAAF//vew=",0)</f>
        <v>#REF!</v>
      </c>
      <c r="ID37" t="e">
        <f>AND(#REF!,"AAAAAF//ve0=")</f>
        <v>#REF!</v>
      </c>
      <c r="IE37" t="e">
        <f>AND(#REF!,"AAAAAF//ve4=")</f>
        <v>#REF!</v>
      </c>
      <c r="IF37" t="e">
        <f>AND(#REF!,"AAAAAF//ve8=")</f>
        <v>#REF!</v>
      </c>
      <c r="IG37" t="e">
        <f>AND(#REF!,"AAAAAF//vfA=")</f>
        <v>#REF!</v>
      </c>
      <c r="IH37" t="e">
        <f>AND(#REF!,"AAAAAF//vfE=")</f>
        <v>#REF!</v>
      </c>
      <c r="II37" t="e">
        <f>AND(#REF!,"AAAAAF//vfI=")</f>
        <v>#REF!</v>
      </c>
      <c r="IJ37" t="e">
        <f>AND(#REF!,"AAAAAF//vfM=")</f>
        <v>#REF!</v>
      </c>
      <c r="IK37" t="e">
        <f>AND(#REF!,"AAAAAF//vfQ=")</f>
        <v>#REF!</v>
      </c>
      <c r="IL37" t="e">
        <f>AND(#REF!,"AAAAAF//vfU=")</f>
        <v>#REF!</v>
      </c>
      <c r="IM37" t="e">
        <f>AND(#REF!,"AAAAAF//vfY=")</f>
        <v>#REF!</v>
      </c>
      <c r="IN37" t="e">
        <f>AND(#REF!,"AAAAAF//vfc=")</f>
        <v>#REF!</v>
      </c>
      <c r="IO37" t="e">
        <f>AND(#REF!,"AAAAAF//vfg=")</f>
        <v>#REF!</v>
      </c>
      <c r="IP37" t="e">
        <f>AND(#REF!,"AAAAAF//vfk=")</f>
        <v>#REF!</v>
      </c>
      <c r="IQ37" t="e">
        <f>AND(#REF!,"AAAAAF//vfo=")</f>
        <v>#REF!</v>
      </c>
      <c r="IR37" t="e">
        <f>AND(#REF!,"AAAAAF//vfs=")</f>
        <v>#REF!</v>
      </c>
      <c r="IS37" t="e">
        <f>AND(#REF!,"AAAAAF//vfw=")</f>
        <v>#REF!</v>
      </c>
      <c r="IT37" t="e">
        <f>AND(#REF!,"AAAAAF//vf0=")</f>
        <v>#REF!</v>
      </c>
      <c r="IU37" t="e">
        <f>AND(#REF!,"AAAAAF//vf4=")</f>
        <v>#REF!</v>
      </c>
      <c r="IV37" t="e">
        <f>AND(#REF!,"AAAAAF//vf8=")</f>
        <v>#REF!</v>
      </c>
    </row>
    <row r="38" spans="1:256" x14ac:dyDescent="0.25">
      <c r="A38" t="e">
        <f>AND(#REF!,"AAAAADa/+gA=")</f>
        <v>#REF!</v>
      </c>
      <c r="B38" t="e">
        <f>IF(#REF!,"AAAAADa/+gE=",0)</f>
        <v>#REF!</v>
      </c>
      <c r="C38" t="e">
        <f>AND(#REF!,"AAAAADa/+gI=")</f>
        <v>#REF!</v>
      </c>
      <c r="D38" t="e">
        <f>AND(#REF!,"AAAAADa/+gM=")</f>
        <v>#REF!</v>
      </c>
      <c r="E38" t="e">
        <f>AND(#REF!,"AAAAADa/+gQ=")</f>
        <v>#REF!</v>
      </c>
      <c r="F38" t="e">
        <f>AND(#REF!,"AAAAADa/+gU=")</f>
        <v>#REF!</v>
      </c>
      <c r="G38" t="e">
        <f>AND(#REF!,"AAAAADa/+gY=")</f>
        <v>#REF!</v>
      </c>
      <c r="H38" t="e">
        <f>AND(#REF!,"AAAAADa/+gc=")</f>
        <v>#REF!</v>
      </c>
      <c r="I38" t="e">
        <f>AND(#REF!,"AAAAADa/+gg=")</f>
        <v>#REF!</v>
      </c>
      <c r="J38" t="e">
        <f>AND(#REF!,"AAAAADa/+gk=")</f>
        <v>#REF!</v>
      </c>
      <c r="K38" t="e">
        <f>AND(#REF!,"AAAAADa/+go=")</f>
        <v>#REF!</v>
      </c>
      <c r="L38" t="e">
        <f>AND(#REF!,"AAAAADa/+gs=")</f>
        <v>#REF!</v>
      </c>
      <c r="M38" t="e">
        <f>AND(#REF!,"AAAAADa/+gw=")</f>
        <v>#REF!</v>
      </c>
      <c r="N38" t="e">
        <f>AND(#REF!,"AAAAADa/+g0=")</f>
        <v>#REF!</v>
      </c>
      <c r="O38" t="e">
        <f>AND(#REF!,"AAAAADa/+g4=")</f>
        <v>#REF!</v>
      </c>
      <c r="P38" t="e">
        <f>AND(#REF!,"AAAAADa/+g8=")</f>
        <v>#REF!</v>
      </c>
      <c r="Q38" t="e">
        <f>AND(#REF!,"AAAAADa/+hA=")</f>
        <v>#REF!</v>
      </c>
      <c r="R38" t="e">
        <f>AND(#REF!,"AAAAADa/+hE=")</f>
        <v>#REF!</v>
      </c>
      <c r="S38" t="e">
        <f>AND(#REF!,"AAAAADa/+hI=")</f>
        <v>#REF!</v>
      </c>
      <c r="T38" t="e">
        <f>AND(#REF!,"AAAAADa/+hM=")</f>
        <v>#REF!</v>
      </c>
      <c r="U38" t="e">
        <f>AND(#REF!,"AAAAADa/+hQ=")</f>
        <v>#REF!</v>
      </c>
      <c r="V38" t="e">
        <f>AND(#REF!,"AAAAADa/+hU=")</f>
        <v>#REF!</v>
      </c>
      <c r="W38" t="e">
        <f>IF(#REF!,"AAAAADa/+hY=",0)</f>
        <v>#REF!</v>
      </c>
      <c r="X38" t="e">
        <f>AND(#REF!,"AAAAADa/+hc=")</f>
        <v>#REF!</v>
      </c>
      <c r="Y38" t="e">
        <f>AND(#REF!,"AAAAADa/+hg=")</f>
        <v>#REF!</v>
      </c>
      <c r="Z38" t="e">
        <f>AND(#REF!,"AAAAADa/+hk=")</f>
        <v>#REF!</v>
      </c>
      <c r="AA38" t="e">
        <f>AND(#REF!,"AAAAADa/+ho=")</f>
        <v>#REF!</v>
      </c>
      <c r="AB38" t="e">
        <f>AND(#REF!,"AAAAADa/+hs=")</f>
        <v>#REF!</v>
      </c>
      <c r="AC38" t="e">
        <f>AND(#REF!,"AAAAADa/+hw=")</f>
        <v>#REF!</v>
      </c>
      <c r="AD38" t="e">
        <f>AND(#REF!,"AAAAADa/+h0=")</f>
        <v>#REF!</v>
      </c>
      <c r="AE38" t="e">
        <f>AND(#REF!,"AAAAADa/+h4=")</f>
        <v>#REF!</v>
      </c>
      <c r="AF38" t="e">
        <f>AND(#REF!,"AAAAADa/+h8=")</f>
        <v>#REF!</v>
      </c>
      <c r="AG38" t="e">
        <f>AND(#REF!,"AAAAADa/+iA=")</f>
        <v>#REF!</v>
      </c>
      <c r="AH38" t="e">
        <f>AND(#REF!,"AAAAADa/+iE=")</f>
        <v>#REF!</v>
      </c>
      <c r="AI38" t="e">
        <f>AND(#REF!,"AAAAADa/+iI=")</f>
        <v>#REF!</v>
      </c>
      <c r="AJ38" t="e">
        <f>AND(#REF!,"AAAAADa/+iM=")</f>
        <v>#REF!</v>
      </c>
      <c r="AK38" t="e">
        <f>AND(#REF!,"AAAAADa/+iQ=")</f>
        <v>#REF!</v>
      </c>
      <c r="AL38" t="e">
        <f>AND(#REF!,"AAAAADa/+iU=")</f>
        <v>#REF!</v>
      </c>
      <c r="AM38" t="e">
        <f>AND(#REF!,"AAAAADa/+iY=")</f>
        <v>#REF!</v>
      </c>
      <c r="AN38" t="e">
        <f>AND(#REF!,"AAAAADa/+ic=")</f>
        <v>#REF!</v>
      </c>
      <c r="AO38" t="e">
        <f>AND(#REF!,"AAAAADa/+ig=")</f>
        <v>#REF!</v>
      </c>
      <c r="AP38" t="e">
        <f>AND(#REF!,"AAAAADa/+ik=")</f>
        <v>#REF!</v>
      </c>
      <c r="AQ38" t="e">
        <f>AND(#REF!,"AAAAADa/+io=")</f>
        <v>#REF!</v>
      </c>
      <c r="AR38" t="e">
        <f>IF(#REF!,"AAAAADa/+is=",0)</f>
        <v>#REF!</v>
      </c>
      <c r="AS38" t="e">
        <f>AND(#REF!,"AAAAADa/+iw=")</f>
        <v>#REF!</v>
      </c>
      <c r="AT38" t="e">
        <f>AND(#REF!,"AAAAADa/+i0=")</f>
        <v>#REF!</v>
      </c>
      <c r="AU38" t="e">
        <f>AND(#REF!,"AAAAADa/+i4=")</f>
        <v>#REF!</v>
      </c>
      <c r="AV38" t="e">
        <f>AND(#REF!,"AAAAADa/+i8=")</f>
        <v>#REF!</v>
      </c>
      <c r="AW38" t="e">
        <f>AND(#REF!,"AAAAADa/+jA=")</f>
        <v>#REF!</v>
      </c>
      <c r="AX38" t="e">
        <f>AND(#REF!,"AAAAADa/+jE=")</f>
        <v>#REF!</v>
      </c>
      <c r="AY38" t="e">
        <f>AND(#REF!,"AAAAADa/+jI=")</f>
        <v>#REF!</v>
      </c>
      <c r="AZ38" t="e">
        <f>AND(#REF!,"AAAAADa/+jM=")</f>
        <v>#REF!</v>
      </c>
      <c r="BA38" t="e">
        <f>AND(#REF!,"AAAAADa/+jQ=")</f>
        <v>#REF!</v>
      </c>
      <c r="BB38" t="e">
        <f>AND(#REF!,"AAAAADa/+jU=")</f>
        <v>#REF!</v>
      </c>
      <c r="BC38" t="e">
        <f>AND(#REF!,"AAAAADa/+jY=")</f>
        <v>#REF!</v>
      </c>
      <c r="BD38" t="e">
        <f>AND(#REF!,"AAAAADa/+jc=")</f>
        <v>#REF!</v>
      </c>
      <c r="BE38" t="e">
        <f>AND(#REF!,"AAAAADa/+jg=")</f>
        <v>#REF!</v>
      </c>
      <c r="BF38" t="e">
        <f>AND(#REF!,"AAAAADa/+jk=")</f>
        <v>#REF!</v>
      </c>
      <c r="BG38" t="e">
        <f>AND(#REF!,"AAAAADa/+jo=")</f>
        <v>#REF!</v>
      </c>
      <c r="BH38" t="e">
        <f>AND(#REF!,"AAAAADa/+js=")</f>
        <v>#REF!</v>
      </c>
      <c r="BI38" t="e">
        <f>AND(#REF!,"AAAAADa/+jw=")</f>
        <v>#REF!</v>
      </c>
      <c r="BJ38" t="e">
        <f>AND(#REF!,"AAAAADa/+j0=")</f>
        <v>#REF!</v>
      </c>
      <c r="BK38" t="e">
        <f>AND(#REF!,"AAAAADa/+j4=")</f>
        <v>#REF!</v>
      </c>
      <c r="BL38" t="e">
        <f>AND(#REF!,"AAAAADa/+j8=")</f>
        <v>#REF!</v>
      </c>
      <c r="BM38" t="e">
        <f>IF(#REF!,"AAAAADa/+kA=",0)</f>
        <v>#REF!</v>
      </c>
      <c r="BN38" t="e">
        <f>AND(#REF!,"AAAAADa/+kE=")</f>
        <v>#REF!</v>
      </c>
      <c r="BO38" t="e">
        <f>AND(#REF!,"AAAAADa/+kI=")</f>
        <v>#REF!</v>
      </c>
      <c r="BP38" t="e">
        <f>AND(#REF!,"AAAAADa/+kM=")</f>
        <v>#REF!</v>
      </c>
      <c r="BQ38" t="e">
        <f>AND(#REF!,"AAAAADa/+kQ=")</f>
        <v>#REF!</v>
      </c>
      <c r="BR38" t="e">
        <f>AND(#REF!,"AAAAADa/+kU=")</f>
        <v>#REF!</v>
      </c>
      <c r="BS38" t="e">
        <f>AND(#REF!,"AAAAADa/+kY=")</f>
        <v>#REF!</v>
      </c>
      <c r="BT38" t="e">
        <f>AND(#REF!,"AAAAADa/+kc=")</f>
        <v>#REF!</v>
      </c>
      <c r="BU38" t="e">
        <f>AND(#REF!,"AAAAADa/+kg=")</f>
        <v>#REF!</v>
      </c>
      <c r="BV38" t="e">
        <f>AND(#REF!,"AAAAADa/+kk=")</f>
        <v>#REF!</v>
      </c>
      <c r="BW38" t="e">
        <f>AND(#REF!,"AAAAADa/+ko=")</f>
        <v>#REF!</v>
      </c>
      <c r="BX38" t="e">
        <f>AND(#REF!,"AAAAADa/+ks=")</f>
        <v>#REF!</v>
      </c>
      <c r="BY38" t="e">
        <f>AND(#REF!,"AAAAADa/+kw=")</f>
        <v>#REF!</v>
      </c>
      <c r="BZ38" t="e">
        <f>AND(#REF!,"AAAAADa/+k0=")</f>
        <v>#REF!</v>
      </c>
      <c r="CA38" t="e">
        <f>AND(#REF!,"AAAAADa/+k4=")</f>
        <v>#REF!</v>
      </c>
      <c r="CB38" t="e">
        <f>AND(#REF!,"AAAAADa/+k8=")</f>
        <v>#REF!</v>
      </c>
      <c r="CC38" t="e">
        <f>AND(#REF!,"AAAAADa/+lA=")</f>
        <v>#REF!</v>
      </c>
      <c r="CD38" t="e">
        <f>AND(#REF!,"AAAAADa/+lE=")</f>
        <v>#REF!</v>
      </c>
      <c r="CE38" t="e">
        <f>AND(#REF!,"AAAAADa/+lI=")</f>
        <v>#REF!</v>
      </c>
      <c r="CF38" t="e">
        <f>AND(#REF!,"AAAAADa/+lM=")</f>
        <v>#REF!</v>
      </c>
      <c r="CG38" t="e">
        <f>AND(#REF!,"AAAAADa/+lQ=")</f>
        <v>#REF!</v>
      </c>
      <c r="CH38" t="e">
        <f>IF(#REF!,"AAAAADa/+lU=",0)</f>
        <v>#REF!</v>
      </c>
      <c r="CI38" t="e">
        <f>AND(#REF!,"AAAAADa/+lY=")</f>
        <v>#REF!</v>
      </c>
      <c r="CJ38" t="e">
        <f>AND(#REF!,"AAAAADa/+lc=")</f>
        <v>#REF!</v>
      </c>
      <c r="CK38" t="e">
        <f>AND(#REF!,"AAAAADa/+lg=")</f>
        <v>#REF!</v>
      </c>
      <c r="CL38" t="e">
        <f>AND(#REF!,"AAAAADa/+lk=")</f>
        <v>#REF!</v>
      </c>
      <c r="CM38" t="e">
        <f>AND(#REF!,"AAAAADa/+lo=")</f>
        <v>#REF!</v>
      </c>
      <c r="CN38" t="e">
        <f>AND(#REF!,"AAAAADa/+ls=")</f>
        <v>#REF!</v>
      </c>
      <c r="CO38" t="e">
        <f>AND(#REF!,"AAAAADa/+lw=")</f>
        <v>#REF!</v>
      </c>
      <c r="CP38" t="e">
        <f>AND(#REF!,"AAAAADa/+l0=")</f>
        <v>#REF!</v>
      </c>
      <c r="CQ38" t="e">
        <f>AND(#REF!,"AAAAADa/+l4=")</f>
        <v>#REF!</v>
      </c>
      <c r="CR38" t="e">
        <f>AND(#REF!,"AAAAADa/+l8=")</f>
        <v>#REF!</v>
      </c>
      <c r="CS38" t="e">
        <f>AND(#REF!,"AAAAADa/+mA=")</f>
        <v>#REF!</v>
      </c>
      <c r="CT38" t="e">
        <f>AND(#REF!,"AAAAADa/+mE=")</f>
        <v>#REF!</v>
      </c>
      <c r="CU38" t="e">
        <f>AND(#REF!,"AAAAADa/+mI=")</f>
        <v>#REF!</v>
      </c>
      <c r="CV38" t="e">
        <f>AND(#REF!,"AAAAADa/+mM=")</f>
        <v>#REF!</v>
      </c>
      <c r="CW38" t="e">
        <f>AND(#REF!,"AAAAADa/+mQ=")</f>
        <v>#REF!</v>
      </c>
      <c r="CX38" t="e">
        <f>AND(#REF!,"AAAAADa/+mU=")</f>
        <v>#REF!</v>
      </c>
      <c r="CY38" t="e">
        <f>AND(#REF!,"AAAAADa/+mY=")</f>
        <v>#REF!</v>
      </c>
      <c r="CZ38" t="e">
        <f>AND(#REF!,"AAAAADa/+mc=")</f>
        <v>#REF!</v>
      </c>
      <c r="DA38" t="e">
        <f>AND(#REF!,"AAAAADa/+mg=")</f>
        <v>#REF!</v>
      </c>
      <c r="DB38" t="e">
        <f>AND(#REF!,"AAAAADa/+mk=")</f>
        <v>#REF!</v>
      </c>
      <c r="DC38" t="e">
        <f>IF(#REF!,"AAAAADa/+mo=",0)</f>
        <v>#REF!</v>
      </c>
      <c r="DD38" t="e">
        <f>AND(#REF!,"AAAAADa/+ms=")</f>
        <v>#REF!</v>
      </c>
      <c r="DE38" t="e">
        <f>AND(#REF!,"AAAAADa/+mw=")</f>
        <v>#REF!</v>
      </c>
      <c r="DF38" t="e">
        <f>AND(#REF!,"AAAAADa/+m0=")</f>
        <v>#REF!</v>
      </c>
      <c r="DG38" t="e">
        <f>AND(#REF!,"AAAAADa/+m4=")</f>
        <v>#REF!</v>
      </c>
      <c r="DH38" t="e">
        <f>AND(#REF!,"AAAAADa/+m8=")</f>
        <v>#REF!</v>
      </c>
      <c r="DI38" t="e">
        <f>AND(#REF!,"AAAAADa/+nA=")</f>
        <v>#REF!</v>
      </c>
      <c r="DJ38" t="e">
        <f>AND(#REF!,"AAAAADa/+nE=")</f>
        <v>#REF!</v>
      </c>
      <c r="DK38" t="e">
        <f>AND(#REF!,"AAAAADa/+nI=")</f>
        <v>#REF!</v>
      </c>
      <c r="DL38" t="e">
        <f>AND(#REF!,"AAAAADa/+nM=")</f>
        <v>#REF!</v>
      </c>
      <c r="DM38" t="e">
        <f>AND(#REF!,"AAAAADa/+nQ=")</f>
        <v>#REF!</v>
      </c>
      <c r="DN38" t="e">
        <f>AND(#REF!,"AAAAADa/+nU=")</f>
        <v>#REF!</v>
      </c>
      <c r="DO38" t="e">
        <f>AND(#REF!,"AAAAADa/+nY=")</f>
        <v>#REF!</v>
      </c>
      <c r="DP38" t="e">
        <f>AND(#REF!,"AAAAADa/+nc=")</f>
        <v>#REF!</v>
      </c>
      <c r="DQ38" t="e">
        <f>AND(#REF!,"AAAAADa/+ng=")</f>
        <v>#REF!</v>
      </c>
      <c r="DR38" t="e">
        <f>AND(#REF!,"AAAAADa/+nk=")</f>
        <v>#REF!</v>
      </c>
      <c r="DS38" t="e">
        <f>AND(#REF!,"AAAAADa/+no=")</f>
        <v>#REF!</v>
      </c>
      <c r="DT38" t="e">
        <f>AND(#REF!,"AAAAADa/+ns=")</f>
        <v>#REF!</v>
      </c>
      <c r="DU38" t="e">
        <f>AND(#REF!,"AAAAADa/+nw=")</f>
        <v>#REF!</v>
      </c>
      <c r="DV38" t="e">
        <f>AND(#REF!,"AAAAADa/+n0=")</f>
        <v>#REF!</v>
      </c>
      <c r="DW38" t="e">
        <f>AND(#REF!,"AAAAADa/+n4=")</f>
        <v>#REF!</v>
      </c>
      <c r="DX38" t="e">
        <f>IF(#REF!,"AAAAADa/+n8=",0)</f>
        <v>#REF!</v>
      </c>
      <c r="DY38" t="e">
        <f>AND(#REF!,"AAAAADa/+oA=")</f>
        <v>#REF!</v>
      </c>
      <c r="DZ38" t="e">
        <f>AND(#REF!,"AAAAADa/+oE=")</f>
        <v>#REF!</v>
      </c>
      <c r="EA38" t="e">
        <f>AND(#REF!,"AAAAADa/+oI=")</f>
        <v>#REF!</v>
      </c>
      <c r="EB38" t="e">
        <f>AND(#REF!,"AAAAADa/+oM=")</f>
        <v>#REF!</v>
      </c>
      <c r="EC38" t="e">
        <f>AND(#REF!,"AAAAADa/+oQ=")</f>
        <v>#REF!</v>
      </c>
      <c r="ED38" t="e">
        <f>AND(#REF!,"AAAAADa/+oU=")</f>
        <v>#REF!</v>
      </c>
      <c r="EE38" t="e">
        <f>AND(#REF!,"AAAAADa/+oY=")</f>
        <v>#REF!</v>
      </c>
      <c r="EF38" t="e">
        <f>AND(#REF!,"AAAAADa/+oc=")</f>
        <v>#REF!</v>
      </c>
      <c r="EG38" t="e">
        <f>AND(#REF!,"AAAAADa/+og=")</f>
        <v>#REF!</v>
      </c>
      <c r="EH38" t="e">
        <f>AND(#REF!,"AAAAADa/+ok=")</f>
        <v>#REF!</v>
      </c>
      <c r="EI38" t="e">
        <f>AND(#REF!,"AAAAADa/+oo=")</f>
        <v>#REF!</v>
      </c>
      <c r="EJ38" t="e">
        <f>AND(#REF!,"AAAAADa/+os=")</f>
        <v>#REF!</v>
      </c>
      <c r="EK38" t="e">
        <f>AND(#REF!,"AAAAADa/+ow=")</f>
        <v>#REF!</v>
      </c>
      <c r="EL38" t="e">
        <f>AND(#REF!,"AAAAADa/+o0=")</f>
        <v>#REF!</v>
      </c>
      <c r="EM38" t="e">
        <f>AND(#REF!,"AAAAADa/+o4=")</f>
        <v>#REF!</v>
      </c>
      <c r="EN38" t="e">
        <f>AND(#REF!,"AAAAADa/+o8=")</f>
        <v>#REF!</v>
      </c>
      <c r="EO38" t="e">
        <f>AND(#REF!,"AAAAADa/+pA=")</f>
        <v>#REF!</v>
      </c>
      <c r="EP38" t="e">
        <f>AND(#REF!,"AAAAADa/+pE=")</f>
        <v>#REF!</v>
      </c>
      <c r="EQ38" t="e">
        <f>AND(#REF!,"AAAAADa/+pI=")</f>
        <v>#REF!</v>
      </c>
      <c r="ER38" t="e">
        <f>AND(#REF!,"AAAAADa/+pM=")</f>
        <v>#REF!</v>
      </c>
      <c r="ES38" t="e">
        <f>IF(#REF!,"AAAAADa/+pQ=",0)</f>
        <v>#REF!</v>
      </c>
      <c r="ET38" t="e">
        <f>AND(#REF!,"AAAAADa/+pU=")</f>
        <v>#REF!</v>
      </c>
      <c r="EU38" t="e">
        <f>AND(#REF!,"AAAAADa/+pY=")</f>
        <v>#REF!</v>
      </c>
      <c r="EV38" t="e">
        <f>AND(#REF!,"AAAAADa/+pc=")</f>
        <v>#REF!</v>
      </c>
      <c r="EW38" t="e">
        <f>AND(#REF!,"AAAAADa/+pg=")</f>
        <v>#REF!</v>
      </c>
      <c r="EX38" t="e">
        <f>AND(#REF!,"AAAAADa/+pk=")</f>
        <v>#REF!</v>
      </c>
      <c r="EY38" t="e">
        <f>AND(#REF!,"AAAAADa/+po=")</f>
        <v>#REF!</v>
      </c>
      <c r="EZ38" t="e">
        <f>AND(#REF!,"AAAAADa/+ps=")</f>
        <v>#REF!</v>
      </c>
      <c r="FA38" t="e">
        <f>AND(#REF!,"AAAAADa/+pw=")</f>
        <v>#REF!</v>
      </c>
      <c r="FB38" t="e">
        <f>AND(#REF!,"AAAAADa/+p0=")</f>
        <v>#REF!</v>
      </c>
      <c r="FC38" t="e">
        <f>AND(#REF!,"AAAAADa/+p4=")</f>
        <v>#REF!</v>
      </c>
      <c r="FD38" t="e">
        <f>AND(#REF!,"AAAAADa/+p8=")</f>
        <v>#REF!</v>
      </c>
      <c r="FE38" t="e">
        <f>AND(#REF!,"AAAAADa/+qA=")</f>
        <v>#REF!</v>
      </c>
      <c r="FF38" t="e">
        <f>AND(#REF!,"AAAAADa/+qE=")</f>
        <v>#REF!</v>
      </c>
      <c r="FG38" t="e">
        <f>AND(#REF!,"AAAAADa/+qI=")</f>
        <v>#REF!</v>
      </c>
      <c r="FH38" t="e">
        <f>AND(#REF!,"AAAAADa/+qM=")</f>
        <v>#REF!</v>
      </c>
      <c r="FI38" t="e">
        <f>AND(#REF!,"AAAAADa/+qQ=")</f>
        <v>#REF!</v>
      </c>
      <c r="FJ38" t="e">
        <f>AND(#REF!,"AAAAADa/+qU=")</f>
        <v>#REF!</v>
      </c>
      <c r="FK38" t="e">
        <f>AND(#REF!,"AAAAADa/+qY=")</f>
        <v>#REF!</v>
      </c>
      <c r="FL38" t="e">
        <f>AND(#REF!,"AAAAADa/+qc=")</f>
        <v>#REF!</v>
      </c>
      <c r="FM38" t="e">
        <f>AND(#REF!,"AAAAADa/+qg=")</f>
        <v>#REF!</v>
      </c>
      <c r="FN38" t="e">
        <f>IF(#REF!,"AAAAADa/+qk=",0)</f>
        <v>#REF!</v>
      </c>
      <c r="FO38" t="e">
        <f>AND(#REF!,"AAAAADa/+qo=")</f>
        <v>#REF!</v>
      </c>
      <c r="FP38" t="e">
        <f>AND(#REF!,"AAAAADa/+qs=")</f>
        <v>#REF!</v>
      </c>
      <c r="FQ38" t="e">
        <f>AND(#REF!,"AAAAADa/+qw=")</f>
        <v>#REF!</v>
      </c>
      <c r="FR38" t="e">
        <f>AND(#REF!,"AAAAADa/+q0=")</f>
        <v>#REF!</v>
      </c>
      <c r="FS38" t="e">
        <f>AND(#REF!,"AAAAADa/+q4=")</f>
        <v>#REF!</v>
      </c>
      <c r="FT38" t="e">
        <f>AND(#REF!,"AAAAADa/+q8=")</f>
        <v>#REF!</v>
      </c>
      <c r="FU38" t="e">
        <f>AND(#REF!,"AAAAADa/+rA=")</f>
        <v>#REF!</v>
      </c>
      <c r="FV38" t="e">
        <f>AND(#REF!,"AAAAADa/+rE=")</f>
        <v>#REF!</v>
      </c>
      <c r="FW38" t="e">
        <f>AND(#REF!,"AAAAADa/+rI=")</f>
        <v>#REF!</v>
      </c>
      <c r="FX38" t="e">
        <f>AND(#REF!,"AAAAADa/+rM=")</f>
        <v>#REF!</v>
      </c>
      <c r="FY38" t="e">
        <f>AND(#REF!,"AAAAADa/+rQ=")</f>
        <v>#REF!</v>
      </c>
      <c r="FZ38" t="e">
        <f>AND(#REF!,"AAAAADa/+rU=")</f>
        <v>#REF!</v>
      </c>
      <c r="GA38" t="e">
        <f>AND(#REF!,"AAAAADa/+rY=")</f>
        <v>#REF!</v>
      </c>
      <c r="GB38" t="e">
        <f>AND(#REF!,"AAAAADa/+rc=")</f>
        <v>#REF!</v>
      </c>
      <c r="GC38" t="e">
        <f>AND(#REF!,"AAAAADa/+rg=")</f>
        <v>#REF!</v>
      </c>
      <c r="GD38" t="e">
        <f>AND(#REF!,"AAAAADa/+rk=")</f>
        <v>#REF!</v>
      </c>
      <c r="GE38" t="e">
        <f>AND(#REF!,"AAAAADa/+ro=")</f>
        <v>#REF!</v>
      </c>
      <c r="GF38" t="e">
        <f>AND(#REF!,"AAAAADa/+rs=")</f>
        <v>#REF!</v>
      </c>
      <c r="GG38" t="e">
        <f>AND(#REF!,"AAAAADa/+rw=")</f>
        <v>#REF!</v>
      </c>
      <c r="GH38" t="e">
        <f>AND(#REF!,"AAAAADa/+r0=")</f>
        <v>#REF!</v>
      </c>
      <c r="GI38" t="e">
        <f>IF(#REF!,"AAAAADa/+r4=",0)</f>
        <v>#REF!</v>
      </c>
      <c r="GJ38" t="e">
        <f>AND(#REF!,"AAAAADa/+r8=")</f>
        <v>#REF!</v>
      </c>
      <c r="GK38" t="e">
        <f>AND(#REF!,"AAAAADa/+sA=")</f>
        <v>#REF!</v>
      </c>
      <c r="GL38" t="e">
        <f>AND(#REF!,"AAAAADa/+sE=")</f>
        <v>#REF!</v>
      </c>
      <c r="GM38" t="e">
        <f>AND(#REF!,"AAAAADa/+sI=")</f>
        <v>#REF!</v>
      </c>
      <c r="GN38" t="e">
        <f>AND(#REF!,"AAAAADa/+sM=")</f>
        <v>#REF!</v>
      </c>
      <c r="GO38" t="e">
        <f>AND(#REF!,"AAAAADa/+sQ=")</f>
        <v>#REF!</v>
      </c>
      <c r="GP38" t="e">
        <f>AND(#REF!,"AAAAADa/+sU=")</f>
        <v>#REF!</v>
      </c>
      <c r="GQ38" t="e">
        <f>AND(#REF!,"AAAAADa/+sY=")</f>
        <v>#REF!</v>
      </c>
      <c r="GR38" t="e">
        <f>AND(#REF!,"AAAAADa/+sc=")</f>
        <v>#REF!</v>
      </c>
      <c r="GS38" t="e">
        <f>AND(#REF!,"AAAAADa/+sg=")</f>
        <v>#REF!</v>
      </c>
      <c r="GT38" t="e">
        <f>AND(#REF!,"AAAAADa/+sk=")</f>
        <v>#REF!</v>
      </c>
      <c r="GU38" t="e">
        <f>AND(#REF!,"AAAAADa/+so=")</f>
        <v>#REF!</v>
      </c>
      <c r="GV38" t="e">
        <f>AND(#REF!,"AAAAADa/+ss=")</f>
        <v>#REF!</v>
      </c>
      <c r="GW38" t="e">
        <f>AND(#REF!,"AAAAADa/+sw=")</f>
        <v>#REF!</v>
      </c>
      <c r="GX38" t="e">
        <f>AND(#REF!,"AAAAADa/+s0=")</f>
        <v>#REF!</v>
      </c>
      <c r="GY38" t="e">
        <f>AND(#REF!,"AAAAADa/+s4=")</f>
        <v>#REF!</v>
      </c>
      <c r="GZ38" t="e">
        <f>AND(#REF!,"AAAAADa/+s8=")</f>
        <v>#REF!</v>
      </c>
      <c r="HA38" t="e">
        <f>AND(#REF!,"AAAAADa/+tA=")</f>
        <v>#REF!</v>
      </c>
      <c r="HB38" t="e">
        <f>AND(#REF!,"AAAAADa/+tE=")</f>
        <v>#REF!</v>
      </c>
      <c r="HC38" t="e">
        <f>AND(#REF!,"AAAAADa/+tI=")</f>
        <v>#REF!</v>
      </c>
      <c r="HD38" t="e">
        <f>IF(#REF!,"AAAAADa/+tM=",0)</f>
        <v>#REF!</v>
      </c>
      <c r="HE38" t="e">
        <f>IF(#REF!,"AAAAADa/+tQ=",0)</f>
        <v>#REF!</v>
      </c>
      <c r="HF38" t="e">
        <f>IF(#REF!,"AAAAADa/+tU=",0)</f>
        <v>#REF!</v>
      </c>
      <c r="HG38" t="e">
        <f>IF(#REF!,"AAAAADa/+tY=",0)</f>
        <v>#REF!</v>
      </c>
      <c r="HH38" t="e">
        <f>IF(#REF!,"AAAAADa/+tc=",0)</f>
        <v>#REF!</v>
      </c>
      <c r="HI38" t="e">
        <f>IF(#REF!,"AAAAADa/+tg=",0)</f>
        <v>#REF!</v>
      </c>
      <c r="HJ38" t="e">
        <f>IF(#REF!,"AAAAADa/+tk=",0)</f>
        <v>#REF!</v>
      </c>
      <c r="HK38" t="e">
        <f>IF(#REF!,"AAAAADa/+to=",0)</f>
        <v>#REF!</v>
      </c>
      <c r="HL38" t="e">
        <f>IF(#REF!,"AAAAADa/+ts=",0)</f>
        <v>#REF!</v>
      </c>
      <c r="HM38" t="e">
        <f>IF(#REF!,"AAAAADa/+tw=",0)</f>
        <v>#REF!</v>
      </c>
      <c r="HN38" t="e">
        <f>IF(#REF!,"AAAAADa/+t0=",0)</f>
        <v>#REF!</v>
      </c>
      <c r="HO38" t="e">
        <f>IF(#REF!,"AAAAADa/+t4=",0)</f>
        <v>#REF!</v>
      </c>
      <c r="HP38" t="e">
        <f>IF(#REF!,"AAAAADa/+t8=",0)</f>
        <v>#REF!</v>
      </c>
      <c r="HQ38" t="e">
        <f>IF(#REF!,"AAAAADa/+uA=",0)</f>
        <v>#REF!</v>
      </c>
      <c r="HR38" t="e">
        <f>IF(#REF!,"AAAAADa/+uE=",0)</f>
        <v>#REF!</v>
      </c>
      <c r="HS38" t="e">
        <f>IF(#REF!,"AAAAADa/+uI=",0)</f>
        <v>#REF!</v>
      </c>
      <c r="HT38" t="e">
        <f>IF(#REF!,"AAAAADa/+uM=",0)</f>
        <v>#REF!</v>
      </c>
      <c r="HU38" t="e">
        <f>IF(#REF!,"AAAAADa/+uQ=",0)</f>
        <v>#REF!</v>
      </c>
      <c r="HV38" t="e">
        <f>IF(#REF!,"AAAAADa/+uU=",0)</f>
        <v>#REF!</v>
      </c>
      <c r="HW38" t="e">
        <f>IF(#REF!,"AAAAADa/+uY=",0)</f>
        <v>#REF!</v>
      </c>
      <c r="HX38" t="e">
        <f>IF(#REF!,"AAAAADa/+uc=",0)</f>
        <v>#REF!</v>
      </c>
      <c r="HY38" t="e">
        <f>AND(#REF!,"AAAAADa/+ug=")</f>
        <v>#REF!</v>
      </c>
      <c r="HZ38" t="e">
        <f>AND(#REF!,"AAAAADa/+uk=")</f>
        <v>#REF!</v>
      </c>
      <c r="IA38" t="e">
        <f>AND(#REF!,"AAAAADa/+uo=")</f>
        <v>#REF!</v>
      </c>
      <c r="IB38" t="e">
        <f>AND(#REF!,"AAAAADa/+us=")</f>
        <v>#REF!</v>
      </c>
      <c r="IC38" t="e">
        <f>AND(#REF!,"AAAAADa/+uw=")</f>
        <v>#REF!</v>
      </c>
      <c r="ID38" t="e">
        <f>AND(#REF!,"AAAAADa/+u0=")</f>
        <v>#REF!</v>
      </c>
      <c r="IE38" t="e">
        <f>AND(#REF!,"AAAAADa/+u4=")</f>
        <v>#REF!</v>
      </c>
      <c r="IF38" t="e">
        <f>AND(#REF!,"AAAAADa/+u8=")</f>
        <v>#REF!</v>
      </c>
      <c r="IG38" t="e">
        <f>AND(#REF!,"AAAAADa/+vA=")</f>
        <v>#REF!</v>
      </c>
      <c r="IH38" t="e">
        <f>AND(#REF!,"AAAAADa/+vE=")</f>
        <v>#REF!</v>
      </c>
      <c r="II38" t="e">
        <f>AND(#REF!,"AAAAADa/+vI=")</f>
        <v>#REF!</v>
      </c>
      <c r="IJ38" t="e">
        <f>AND(#REF!,"AAAAADa/+vM=")</f>
        <v>#REF!</v>
      </c>
      <c r="IK38" t="e">
        <f>AND(#REF!,"AAAAADa/+vQ=")</f>
        <v>#REF!</v>
      </c>
      <c r="IL38" t="e">
        <f>AND(#REF!,"AAAAADa/+vU=")</f>
        <v>#REF!</v>
      </c>
      <c r="IM38" t="e">
        <f>AND(#REF!,"AAAAADa/+vY=")</f>
        <v>#REF!</v>
      </c>
      <c r="IN38" t="e">
        <f>AND(#REF!,"AAAAADa/+vc=")</f>
        <v>#REF!</v>
      </c>
      <c r="IO38" t="e">
        <f>AND(#REF!,"AAAAADa/+vg=")</f>
        <v>#REF!</v>
      </c>
      <c r="IP38" t="e">
        <f>AND(#REF!,"AAAAADa/+vk=")</f>
        <v>#REF!</v>
      </c>
      <c r="IQ38" t="e">
        <f>AND(#REF!,"AAAAADa/+vo=")</f>
        <v>#REF!</v>
      </c>
      <c r="IR38" t="e">
        <f>AND(#REF!,"AAAAADa/+vs=")</f>
        <v>#REF!</v>
      </c>
      <c r="IS38" t="e">
        <f>IF(#REF!,"AAAAADa/+vw=",0)</f>
        <v>#REF!</v>
      </c>
      <c r="IT38" t="e">
        <f>AND(#REF!,"AAAAADa/+v0=")</f>
        <v>#REF!</v>
      </c>
      <c r="IU38" t="e">
        <f>AND(#REF!,"AAAAADa/+v4=")</f>
        <v>#REF!</v>
      </c>
      <c r="IV38" t="e">
        <f>AND(#REF!,"AAAAADa/+v8=")</f>
        <v>#REF!</v>
      </c>
    </row>
    <row r="39" spans="1:256" x14ac:dyDescent="0.25">
      <c r="A39" t="e">
        <f>AND(#REF!,"AAAAAF/9rQA=")</f>
        <v>#REF!</v>
      </c>
      <c r="B39" t="e">
        <f>AND(#REF!,"AAAAAF/9rQE=")</f>
        <v>#REF!</v>
      </c>
      <c r="C39" t="e">
        <f>AND(#REF!,"AAAAAF/9rQI=")</f>
        <v>#REF!</v>
      </c>
      <c r="D39" t="e">
        <f>AND(#REF!,"AAAAAF/9rQM=")</f>
        <v>#REF!</v>
      </c>
      <c r="E39" t="e">
        <f>AND(#REF!,"AAAAAF/9rQQ=")</f>
        <v>#REF!</v>
      </c>
      <c r="F39" t="e">
        <f>AND(#REF!,"AAAAAF/9rQU=")</f>
        <v>#REF!</v>
      </c>
      <c r="G39" t="e">
        <f>AND(#REF!,"AAAAAF/9rQY=")</f>
        <v>#REF!</v>
      </c>
      <c r="H39" t="e">
        <f>AND(#REF!,"AAAAAF/9rQc=")</f>
        <v>#REF!</v>
      </c>
      <c r="I39" t="e">
        <f>AND(#REF!,"AAAAAF/9rQg=")</f>
        <v>#REF!</v>
      </c>
      <c r="J39" t="e">
        <f>AND(#REF!,"AAAAAF/9rQk=")</f>
        <v>#REF!</v>
      </c>
      <c r="K39" t="e">
        <f>AND(#REF!,"AAAAAF/9rQo=")</f>
        <v>#REF!</v>
      </c>
      <c r="L39" t="e">
        <f>AND(#REF!,"AAAAAF/9rQs=")</f>
        <v>#REF!</v>
      </c>
      <c r="M39" t="e">
        <f>AND(#REF!,"AAAAAF/9rQw=")</f>
        <v>#REF!</v>
      </c>
      <c r="N39" t="e">
        <f>AND(#REF!,"AAAAAF/9rQ0=")</f>
        <v>#REF!</v>
      </c>
      <c r="O39" t="e">
        <f>AND(#REF!,"AAAAAF/9rQ4=")</f>
        <v>#REF!</v>
      </c>
      <c r="P39" t="e">
        <f>AND(#REF!,"AAAAAF/9rQ8=")</f>
        <v>#REF!</v>
      </c>
      <c r="Q39" t="e">
        <f>AND(#REF!,"AAAAAF/9rRA=")</f>
        <v>#REF!</v>
      </c>
      <c r="R39" t="e">
        <f>IF(#REF!,"AAAAAF/9rRE=",0)</f>
        <v>#REF!</v>
      </c>
      <c r="S39" t="e">
        <f>AND(#REF!,"AAAAAF/9rRI=")</f>
        <v>#REF!</v>
      </c>
      <c r="T39" t="e">
        <f>AND(#REF!,"AAAAAF/9rRM=")</f>
        <v>#REF!</v>
      </c>
      <c r="U39" t="e">
        <f>AND(#REF!,"AAAAAF/9rRQ=")</f>
        <v>#REF!</v>
      </c>
      <c r="V39" t="e">
        <f>AND(#REF!,"AAAAAF/9rRU=")</f>
        <v>#REF!</v>
      </c>
      <c r="W39" t="e">
        <f>AND(#REF!,"AAAAAF/9rRY=")</f>
        <v>#REF!</v>
      </c>
      <c r="X39" t="e">
        <f>AND(#REF!,"AAAAAF/9rRc=")</f>
        <v>#REF!</v>
      </c>
      <c r="Y39" t="e">
        <f>AND(#REF!,"AAAAAF/9rRg=")</f>
        <v>#REF!</v>
      </c>
      <c r="Z39" t="e">
        <f>AND(#REF!,"AAAAAF/9rRk=")</f>
        <v>#REF!</v>
      </c>
      <c r="AA39" t="e">
        <f>AND(#REF!,"AAAAAF/9rRo=")</f>
        <v>#REF!</v>
      </c>
      <c r="AB39" t="e">
        <f>AND(#REF!,"AAAAAF/9rRs=")</f>
        <v>#REF!</v>
      </c>
      <c r="AC39" t="e">
        <f>AND(#REF!,"AAAAAF/9rRw=")</f>
        <v>#REF!</v>
      </c>
      <c r="AD39" t="e">
        <f>AND(#REF!,"AAAAAF/9rR0=")</f>
        <v>#REF!</v>
      </c>
      <c r="AE39" t="e">
        <f>AND(#REF!,"AAAAAF/9rR4=")</f>
        <v>#REF!</v>
      </c>
      <c r="AF39" t="e">
        <f>AND(#REF!,"AAAAAF/9rR8=")</f>
        <v>#REF!</v>
      </c>
      <c r="AG39" t="e">
        <f>AND(#REF!,"AAAAAF/9rSA=")</f>
        <v>#REF!</v>
      </c>
      <c r="AH39" t="e">
        <f>AND(#REF!,"AAAAAF/9rSE=")</f>
        <v>#REF!</v>
      </c>
      <c r="AI39" t="e">
        <f>AND(#REF!,"AAAAAF/9rSI=")</f>
        <v>#REF!</v>
      </c>
      <c r="AJ39" t="e">
        <f>AND(#REF!,"AAAAAF/9rSM=")</f>
        <v>#REF!</v>
      </c>
      <c r="AK39" t="e">
        <f>AND(#REF!,"AAAAAF/9rSQ=")</f>
        <v>#REF!</v>
      </c>
      <c r="AL39" t="e">
        <f>AND(#REF!,"AAAAAF/9rSU=")</f>
        <v>#REF!</v>
      </c>
      <c r="AM39" t="e">
        <f>IF(#REF!,"AAAAAF/9rSY=",0)</f>
        <v>#REF!</v>
      </c>
      <c r="AN39" t="e">
        <f>AND(#REF!,"AAAAAF/9rSc=")</f>
        <v>#REF!</v>
      </c>
      <c r="AO39" t="e">
        <f>AND(#REF!,"AAAAAF/9rSg=")</f>
        <v>#REF!</v>
      </c>
      <c r="AP39" t="e">
        <f>AND(#REF!,"AAAAAF/9rSk=")</f>
        <v>#REF!</v>
      </c>
      <c r="AQ39" t="e">
        <f>AND(#REF!,"AAAAAF/9rSo=")</f>
        <v>#REF!</v>
      </c>
      <c r="AR39" t="e">
        <f>AND(#REF!,"AAAAAF/9rSs=")</f>
        <v>#REF!</v>
      </c>
      <c r="AS39" t="e">
        <f>AND(#REF!,"AAAAAF/9rSw=")</f>
        <v>#REF!</v>
      </c>
      <c r="AT39" t="e">
        <f>AND(#REF!,"AAAAAF/9rS0=")</f>
        <v>#REF!</v>
      </c>
      <c r="AU39" t="e">
        <f>AND(#REF!,"AAAAAF/9rS4=")</f>
        <v>#REF!</v>
      </c>
      <c r="AV39" t="e">
        <f>AND(#REF!,"AAAAAF/9rS8=")</f>
        <v>#REF!</v>
      </c>
      <c r="AW39" t="e">
        <f>AND(#REF!,"AAAAAF/9rTA=")</f>
        <v>#REF!</v>
      </c>
      <c r="AX39" t="e">
        <f>AND(#REF!,"AAAAAF/9rTE=")</f>
        <v>#REF!</v>
      </c>
      <c r="AY39" t="e">
        <f>AND(#REF!,"AAAAAF/9rTI=")</f>
        <v>#REF!</v>
      </c>
      <c r="AZ39" t="e">
        <f>AND(#REF!,"AAAAAF/9rTM=")</f>
        <v>#REF!</v>
      </c>
      <c r="BA39" t="e">
        <f>AND(#REF!,"AAAAAF/9rTQ=")</f>
        <v>#REF!</v>
      </c>
      <c r="BB39" t="e">
        <f>AND(#REF!,"AAAAAF/9rTU=")</f>
        <v>#REF!</v>
      </c>
      <c r="BC39" t="e">
        <f>AND(#REF!,"AAAAAF/9rTY=")</f>
        <v>#REF!</v>
      </c>
      <c r="BD39" t="e">
        <f>AND(#REF!,"AAAAAF/9rTc=")</f>
        <v>#REF!</v>
      </c>
      <c r="BE39" t="e">
        <f>AND(#REF!,"AAAAAF/9rTg=")</f>
        <v>#REF!</v>
      </c>
      <c r="BF39" t="e">
        <f>AND(#REF!,"AAAAAF/9rTk=")</f>
        <v>#REF!</v>
      </c>
      <c r="BG39" t="e">
        <f>AND(#REF!,"AAAAAF/9rTo=")</f>
        <v>#REF!</v>
      </c>
      <c r="BH39" t="e">
        <f>IF(#REF!,"AAAAAF/9rTs=",0)</f>
        <v>#REF!</v>
      </c>
      <c r="BI39" t="e">
        <f>AND(#REF!,"AAAAAF/9rTw=")</f>
        <v>#REF!</v>
      </c>
      <c r="BJ39" t="e">
        <f>AND(#REF!,"AAAAAF/9rT0=")</f>
        <v>#REF!</v>
      </c>
      <c r="BK39" t="e">
        <f>AND(#REF!,"AAAAAF/9rT4=")</f>
        <v>#REF!</v>
      </c>
      <c r="BL39" t="e">
        <f>AND(#REF!,"AAAAAF/9rT8=")</f>
        <v>#REF!</v>
      </c>
      <c r="BM39" t="e">
        <f>AND(#REF!,"AAAAAF/9rUA=")</f>
        <v>#REF!</v>
      </c>
      <c r="BN39" t="e">
        <f>AND(#REF!,"AAAAAF/9rUE=")</f>
        <v>#REF!</v>
      </c>
      <c r="BO39" t="e">
        <f>AND(#REF!,"AAAAAF/9rUI=")</f>
        <v>#REF!</v>
      </c>
      <c r="BP39" t="e">
        <f>AND(#REF!,"AAAAAF/9rUM=")</f>
        <v>#REF!</v>
      </c>
      <c r="BQ39" t="e">
        <f>AND(#REF!,"AAAAAF/9rUQ=")</f>
        <v>#REF!</v>
      </c>
      <c r="BR39" t="e">
        <f>AND(#REF!,"AAAAAF/9rUU=")</f>
        <v>#REF!</v>
      </c>
      <c r="BS39" t="e">
        <f>AND(#REF!,"AAAAAF/9rUY=")</f>
        <v>#REF!</v>
      </c>
      <c r="BT39" t="e">
        <f>AND(#REF!,"AAAAAF/9rUc=")</f>
        <v>#REF!</v>
      </c>
      <c r="BU39" t="e">
        <f>AND(#REF!,"AAAAAF/9rUg=")</f>
        <v>#REF!</v>
      </c>
      <c r="BV39" t="e">
        <f>AND(#REF!,"AAAAAF/9rUk=")</f>
        <v>#REF!</v>
      </c>
      <c r="BW39" t="e">
        <f>AND(#REF!,"AAAAAF/9rUo=")</f>
        <v>#REF!</v>
      </c>
      <c r="BX39" t="e">
        <f>AND(#REF!,"AAAAAF/9rUs=")</f>
        <v>#REF!</v>
      </c>
      <c r="BY39" t="e">
        <f>AND(#REF!,"AAAAAF/9rUw=")</f>
        <v>#REF!</v>
      </c>
      <c r="BZ39" t="e">
        <f>AND(#REF!,"AAAAAF/9rU0=")</f>
        <v>#REF!</v>
      </c>
      <c r="CA39" t="e">
        <f>AND(#REF!,"AAAAAF/9rU4=")</f>
        <v>#REF!</v>
      </c>
      <c r="CB39" t="e">
        <f>AND(#REF!,"AAAAAF/9rU8=")</f>
        <v>#REF!</v>
      </c>
      <c r="CC39" t="e">
        <f>IF(#REF!,"AAAAAF/9rVA=",0)</f>
        <v>#REF!</v>
      </c>
      <c r="CD39" t="e">
        <f>AND(#REF!,"AAAAAF/9rVE=")</f>
        <v>#REF!</v>
      </c>
      <c r="CE39" t="e">
        <f>AND(#REF!,"AAAAAF/9rVI=")</f>
        <v>#REF!</v>
      </c>
      <c r="CF39" t="e">
        <f>AND(#REF!,"AAAAAF/9rVM=")</f>
        <v>#REF!</v>
      </c>
      <c r="CG39" t="e">
        <f>AND(#REF!,"AAAAAF/9rVQ=")</f>
        <v>#REF!</v>
      </c>
      <c r="CH39" t="e">
        <f>AND(#REF!,"AAAAAF/9rVU=")</f>
        <v>#REF!</v>
      </c>
      <c r="CI39" t="e">
        <f>AND(#REF!,"AAAAAF/9rVY=")</f>
        <v>#REF!</v>
      </c>
      <c r="CJ39" t="e">
        <f>AND(#REF!,"AAAAAF/9rVc=")</f>
        <v>#REF!</v>
      </c>
      <c r="CK39" t="e">
        <f>AND(#REF!,"AAAAAF/9rVg=")</f>
        <v>#REF!</v>
      </c>
      <c r="CL39" t="e">
        <f>AND(#REF!,"AAAAAF/9rVk=")</f>
        <v>#REF!</v>
      </c>
      <c r="CM39" t="e">
        <f>AND(#REF!,"AAAAAF/9rVo=")</f>
        <v>#REF!</v>
      </c>
      <c r="CN39" t="e">
        <f>AND(#REF!,"AAAAAF/9rVs=")</f>
        <v>#REF!</v>
      </c>
      <c r="CO39" t="e">
        <f>AND(#REF!,"AAAAAF/9rVw=")</f>
        <v>#REF!</v>
      </c>
      <c r="CP39" t="e">
        <f>AND(#REF!,"AAAAAF/9rV0=")</f>
        <v>#REF!</v>
      </c>
      <c r="CQ39" t="e">
        <f>AND(#REF!,"AAAAAF/9rV4=")</f>
        <v>#REF!</v>
      </c>
      <c r="CR39" t="e">
        <f>AND(#REF!,"AAAAAF/9rV8=")</f>
        <v>#REF!</v>
      </c>
      <c r="CS39" t="e">
        <f>AND(#REF!,"AAAAAF/9rWA=")</f>
        <v>#REF!</v>
      </c>
      <c r="CT39" t="e">
        <f>AND(#REF!,"AAAAAF/9rWE=")</f>
        <v>#REF!</v>
      </c>
      <c r="CU39" t="e">
        <f>AND(#REF!,"AAAAAF/9rWI=")</f>
        <v>#REF!</v>
      </c>
      <c r="CV39" t="e">
        <f>AND(#REF!,"AAAAAF/9rWM=")</f>
        <v>#REF!</v>
      </c>
      <c r="CW39" t="e">
        <f>AND(#REF!,"AAAAAF/9rWQ=")</f>
        <v>#REF!</v>
      </c>
      <c r="CX39" t="e">
        <f>IF(#REF!,"AAAAAF/9rWU=",0)</f>
        <v>#REF!</v>
      </c>
      <c r="CY39" t="e">
        <f>AND(#REF!,"AAAAAF/9rWY=")</f>
        <v>#REF!</v>
      </c>
      <c r="CZ39" t="e">
        <f>AND(#REF!,"AAAAAF/9rWc=")</f>
        <v>#REF!</v>
      </c>
      <c r="DA39" t="e">
        <f>AND(#REF!,"AAAAAF/9rWg=")</f>
        <v>#REF!</v>
      </c>
      <c r="DB39" t="e">
        <f>AND(#REF!,"AAAAAF/9rWk=")</f>
        <v>#REF!</v>
      </c>
      <c r="DC39" t="e">
        <f>AND(#REF!,"AAAAAF/9rWo=")</f>
        <v>#REF!</v>
      </c>
      <c r="DD39" t="e">
        <f>AND(#REF!,"AAAAAF/9rWs=")</f>
        <v>#REF!</v>
      </c>
      <c r="DE39" t="e">
        <f>AND(#REF!,"AAAAAF/9rWw=")</f>
        <v>#REF!</v>
      </c>
      <c r="DF39" t="e">
        <f>AND(#REF!,"AAAAAF/9rW0=")</f>
        <v>#REF!</v>
      </c>
      <c r="DG39" t="e">
        <f>AND(#REF!,"AAAAAF/9rW4=")</f>
        <v>#REF!</v>
      </c>
      <c r="DH39" t="e">
        <f>AND(#REF!,"AAAAAF/9rW8=")</f>
        <v>#REF!</v>
      </c>
      <c r="DI39" t="e">
        <f>AND(#REF!,"AAAAAF/9rXA=")</f>
        <v>#REF!</v>
      </c>
      <c r="DJ39" t="e">
        <f>AND(#REF!,"AAAAAF/9rXE=")</f>
        <v>#REF!</v>
      </c>
      <c r="DK39" t="e">
        <f>AND(#REF!,"AAAAAF/9rXI=")</f>
        <v>#REF!</v>
      </c>
      <c r="DL39" t="e">
        <f>AND(#REF!,"AAAAAF/9rXM=")</f>
        <v>#REF!</v>
      </c>
      <c r="DM39" t="e">
        <f>AND(#REF!,"AAAAAF/9rXQ=")</f>
        <v>#REF!</v>
      </c>
      <c r="DN39" t="e">
        <f>AND(#REF!,"AAAAAF/9rXU=")</f>
        <v>#REF!</v>
      </c>
      <c r="DO39" t="e">
        <f>AND(#REF!,"AAAAAF/9rXY=")</f>
        <v>#REF!</v>
      </c>
      <c r="DP39" t="e">
        <f>AND(#REF!,"AAAAAF/9rXc=")</f>
        <v>#REF!</v>
      </c>
      <c r="DQ39" t="e">
        <f>AND(#REF!,"AAAAAF/9rXg=")</f>
        <v>#REF!</v>
      </c>
      <c r="DR39" t="e">
        <f>AND(#REF!,"AAAAAF/9rXk=")</f>
        <v>#REF!</v>
      </c>
      <c r="DS39" t="e">
        <f>IF(#REF!,"AAAAAF/9rXo=",0)</f>
        <v>#REF!</v>
      </c>
      <c r="DT39" t="e">
        <f>AND(#REF!,"AAAAAF/9rXs=")</f>
        <v>#REF!</v>
      </c>
      <c r="DU39" t="e">
        <f>AND(#REF!,"AAAAAF/9rXw=")</f>
        <v>#REF!</v>
      </c>
      <c r="DV39" t="e">
        <f>AND(#REF!,"AAAAAF/9rX0=")</f>
        <v>#REF!</v>
      </c>
      <c r="DW39" t="e">
        <f>AND(#REF!,"AAAAAF/9rX4=")</f>
        <v>#REF!</v>
      </c>
      <c r="DX39" t="e">
        <f>AND(#REF!,"AAAAAF/9rX8=")</f>
        <v>#REF!</v>
      </c>
      <c r="DY39" t="e">
        <f>AND(#REF!,"AAAAAF/9rYA=")</f>
        <v>#REF!</v>
      </c>
      <c r="DZ39" t="e">
        <f>AND(#REF!,"AAAAAF/9rYE=")</f>
        <v>#REF!</v>
      </c>
      <c r="EA39" t="e">
        <f>AND(#REF!,"AAAAAF/9rYI=")</f>
        <v>#REF!</v>
      </c>
      <c r="EB39" t="e">
        <f>AND(#REF!,"AAAAAF/9rYM=")</f>
        <v>#REF!</v>
      </c>
      <c r="EC39" t="e">
        <f>AND(#REF!,"AAAAAF/9rYQ=")</f>
        <v>#REF!</v>
      </c>
      <c r="ED39" t="e">
        <f>AND(#REF!,"AAAAAF/9rYU=")</f>
        <v>#REF!</v>
      </c>
      <c r="EE39" t="e">
        <f>AND(#REF!,"AAAAAF/9rYY=")</f>
        <v>#REF!</v>
      </c>
      <c r="EF39" t="e">
        <f>AND(#REF!,"AAAAAF/9rYc=")</f>
        <v>#REF!</v>
      </c>
      <c r="EG39" t="e">
        <f>AND(#REF!,"AAAAAF/9rYg=")</f>
        <v>#REF!</v>
      </c>
      <c r="EH39" t="e">
        <f>AND(#REF!,"AAAAAF/9rYk=")</f>
        <v>#REF!</v>
      </c>
      <c r="EI39" t="e">
        <f>AND(#REF!,"AAAAAF/9rYo=")</f>
        <v>#REF!</v>
      </c>
      <c r="EJ39" t="e">
        <f>AND(#REF!,"AAAAAF/9rYs=")</f>
        <v>#REF!</v>
      </c>
      <c r="EK39" t="e">
        <f>AND(#REF!,"AAAAAF/9rYw=")</f>
        <v>#REF!</v>
      </c>
      <c r="EL39" t="e">
        <f>AND(#REF!,"AAAAAF/9rY0=")</f>
        <v>#REF!</v>
      </c>
      <c r="EM39" t="e">
        <f>AND(#REF!,"AAAAAF/9rY4=")</f>
        <v>#REF!</v>
      </c>
      <c r="EN39" t="e">
        <f>IF(#REF!,"AAAAAF/9rY8=",0)</f>
        <v>#REF!</v>
      </c>
      <c r="EO39" t="e">
        <f>AND(#REF!,"AAAAAF/9rZA=")</f>
        <v>#REF!</v>
      </c>
      <c r="EP39" t="e">
        <f>AND(#REF!,"AAAAAF/9rZE=")</f>
        <v>#REF!</v>
      </c>
      <c r="EQ39" t="e">
        <f>AND(#REF!,"AAAAAF/9rZI=")</f>
        <v>#REF!</v>
      </c>
      <c r="ER39" t="e">
        <f>AND(#REF!,"AAAAAF/9rZM=")</f>
        <v>#REF!</v>
      </c>
      <c r="ES39" t="e">
        <f>AND(#REF!,"AAAAAF/9rZQ=")</f>
        <v>#REF!</v>
      </c>
      <c r="ET39" t="e">
        <f>AND(#REF!,"AAAAAF/9rZU=")</f>
        <v>#REF!</v>
      </c>
      <c r="EU39" t="e">
        <f>AND(#REF!,"AAAAAF/9rZY=")</f>
        <v>#REF!</v>
      </c>
      <c r="EV39" t="e">
        <f>AND(#REF!,"AAAAAF/9rZc=")</f>
        <v>#REF!</v>
      </c>
      <c r="EW39" t="e">
        <f>AND(#REF!,"AAAAAF/9rZg=")</f>
        <v>#REF!</v>
      </c>
      <c r="EX39" t="e">
        <f>AND(#REF!,"AAAAAF/9rZk=")</f>
        <v>#REF!</v>
      </c>
      <c r="EY39" t="e">
        <f>AND(#REF!,"AAAAAF/9rZo=")</f>
        <v>#REF!</v>
      </c>
      <c r="EZ39" t="e">
        <f>AND(#REF!,"AAAAAF/9rZs=")</f>
        <v>#REF!</v>
      </c>
      <c r="FA39" t="e">
        <f>AND(#REF!,"AAAAAF/9rZw=")</f>
        <v>#REF!</v>
      </c>
      <c r="FB39" t="e">
        <f>AND(#REF!,"AAAAAF/9rZ0=")</f>
        <v>#REF!</v>
      </c>
      <c r="FC39" t="e">
        <f>AND(#REF!,"AAAAAF/9rZ4=")</f>
        <v>#REF!</v>
      </c>
      <c r="FD39" t="e">
        <f>AND(#REF!,"AAAAAF/9rZ8=")</f>
        <v>#REF!</v>
      </c>
      <c r="FE39" t="e">
        <f>AND(#REF!,"AAAAAF/9raA=")</f>
        <v>#REF!</v>
      </c>
      <c r="FF39" t="e">
        <f>AND(#REF!,"AAAAAF/9raE=")</f>
        <v>#REF!</v>
      </c>
      <c r="FG39" t="e">
        <f>AND(#REF!,"AAAAAF/9raI=")</f>
        <v>#REF!</v>
      </c>
      <c r="FH39" t="e">
        <f>AND(#REF!,"AAAAAF/9raM=")</f>
        <v>#REF!</v>
      </c>
      <c r="FI39" t="e">
        <f>IF(#REF!,"AAAAAF/9raQ=",0)</f>
        <v>#REF!</v>
      </c>
      <c r="FJ39" t="e">
        <f>AND(#REF!,"AAAAAF/9raU=")</f>
        <v>#REF!</v>
      </c>
      <c r="FK39" t="e">
        <f>AND(#REF!,"AAAAAF/9raY=")</f>
        <v>#REF!</v>
      </c>
      <c r="FL39" t="e">
        <f>AND(#REF!,"AAAAAF/9rac=")</f>
        <v>#REF!</v>
      </c>
      <c r="FM39" t="e">
        <f>AND(#REF!,"AAAAAF/9rag=")</f>
        <v>#REF!</v>
      </c>
      <c r="FN39" t="e">
        <f>AND(#REF!,"AAAAAF/9rak=")</f>
        <v>#REF!</v>
      </c>
      <c r="FO39" t="e">
        <f>AND(#REF!,"AAAAAF/9rao=")</f>
        <v>#REF!</v>
      </c>
      <c r="FP39" t="e">
        <f>AND(#REF!,"AAAAAF/9ras=")</f>
        <v>#REF!</v>
      </c>
      <c r="FQ39" t="e">
        <f>AND(#REF!,"AAAAAF/9raw=")</f>
        <v>#REF!</v>
      </c>
      <c r="FR39" t="e">
        <f>AND(#REF!,"AAAAAF/9ra0=")</f>
        <v>#REF!</v>
      </c>
      <c r="FS39" t="e">
        <f>AND(#REF!,"AAAAAF/9ra4=")</f>
        <v>#REF!</v>
      </c>
      <c r="FT39" t="e">
        <f>AND(#REF!,"AAAAAF/9ra8=")</f>
        <v>#REF!</v>
      </c>
      <c r="FU39" t="e">
        <f>AND(#REF!,"AAAAAF/9rbA=")</f>
        <v>#REF!</v>
      </c>
      <c r="FV39" t="e">
        <f>AND(#REF!,"AAAAAF/9rbE=")</f>
        <v>#REF!</v>
      </c>
      <c r="FW39" t="e">
        <f>AND(#REF!,"AAAAAF/9rbI=")</f>
        <v>#REF!</v>
      </c>
      <c r="FX39" t="e">
        <f>AND(#REF!,"AAAAAF/9rbM=")</f>
        <v>#REF!</v>
      </c>
      <c r="FY39" t="e">
        <f>AND(#REF!,"AAAAAF/9rbQ=")</f>
        <v>#REF!</v>
      </c>
      <c r="FZ39" t="e">
        <f>AND(#REF!,"AAAAAF/9rbU=")</f>
        <v>#REF!</v>
      </c>
      <c r="GA39" t="e">
        <f>AND(#REF!,"AAAAAF/9rbY=")</f>
        <v>#REF!</v>
      </c>
      <c r="GB39" t="e">
        <f>AND(#REF!,"AAAAAF/9rbc=")</f>
        <v>#REF!</v>
      </c>
      <c r="GC39" t="e">
        <f>AND(#REF!,"AAAAAF/9rbg=")</f>
        <v>#REF!</v>
      </c>
      <c r="GD39" t="e">
        <f>IF(#REF!,"AAAAAF/9rbk=",0)</f>
        <v>#REF!</v>
      </c>
      <c r="GE39" t="e">
        <f>AND(#REF!,"AAAAAF/9rbo=")</f>
        <v>#REF!</v>
      </c>
      <c r="GF39" t="e">
        <f>AND(#REF!,"AAAAAF/9rbs=")</f>
        <v>#REF!</v>
      </c>
      <c r="GG39" t="e">
        <f>AND(#REF!,"AAAAAF/9rbw=")</f>
        <v>#REF!</v>
      </c>
      <c r="GH39" t="e">
        <f>AND(#REF!,"AAAAAF/9rb0=")</f>
        <v>#REF!</v>
      </c>
      <c r="GI39" t="e">
        <f>AND(#REF!,"AAAAAF/9rb4=")</f>
        <v>#REF!</v>
      </c>
      <c r="GJ39" t="e">
        <f>AND(#REF!,"AAAAAF/9rb8=")</f>
        <v>#REF!</v>
      </c>
      <c r="GK39" t="e">
        <f>AND(#REF!,"AAAAAF/9rcA=")</f>
        <v>#REF!</v>
      </c>
      <c r="GL39" t="e">
        <f>AND(#REF!,"AAAAAF/9rcE=")</f>
        <v>#REF!</v>
      </c>
      <c r="GM39" t="e">
        <f>AND(#REF!,"AAAAAF/9rcI=")</f>
        <v>#REF!</v>
      </c>
      <c r="GN39" t="e">
        <f>AND(#REF!,"AAAAAF/9rcM=")</f>
        <v>#REF!</v>
      </c>
      <c r="GO39" t="e">
        <f>AND(#REF!,"AAAAAF/9rcQ=")</f>
        <v>#REF!</v>
      </c>
      <c r="GP39" t="e">
        <f>AND(#REF!,"AAAAAF/9rcU=")</f>
        <v>#REF!</v>
      </c>
      <c r="GQ39" t="e">
        <f>AND(#REF!,"AAAAAF/9rcY=")</f>
        <v>#REF!</v>
      </c>
      <c r="GR39" t="e">
        <f>AND(#REF!,"AAAAAF/9rcc=")</f>
        <v>#REF!</v>
      </c>
      <c r="GS39" t="e">
        <f>AND(#REF!,"AAAAAF/9rcg=")</f>
        <v>#REF!</v>
      </c>
      <c r="GT39" t="e">
        <f>AND(#REF!,"AAAAAF/9rck=")</f>
        <v>#REF!</v>
      </c>
      <c r="GU39" t="e">
        <f>AND(#REF!,"AAAAAF/9rco=")</f>
        <v>#REF!</v>
      </c>
      <c r="GV39" t="e">
        <f>AND(#REF!,"AAAAAF/9rcs=")</f>
        <v>#REF!</v>
      </c>
      <c r="GW39" t="e">
        <f>AND(#REF!,"AAAAAF/9rcw=")</f>
        <v>#REF!</v>
      </c>
      <c r="GX39" t="e">
        <f>AND(#REF!,"AAAAAF/9rc0=")</f>
        <v>#REF!</v>
      </c>
      <c r="GY39" t="e">
        <f>IF(#REF!,"AAAAAF/9rc4=",0)</f>
        <v>#REF!</v>
      </c>
      <c r="GZ39" t="e">
        <f>AND(#REF!,"AAAAAF/9rc8=")</f>
        <v>#REF!</v>
      </c>
      <c r="HA39" t="e">
        <f>AND(#REF!,"AAAAAF/9rdA=")</f>
        <v>#REF!</v>
      </c>
      <c r="HB39" t="e">
        <f>AND(#REF!,"AAAAAF/9rdE=")</f>
        <v>#REF!</v>
      </c>
      <c r="HC39" t="e">
        <f>AND(#REF!,"AAAAAF/9rdI=")</f>
        <v>#REF!</v>
      </c>
      <c r="HD39" t="e">
        <f>AND(#REF!,"AAAAAF/9rdM=")</f>
        <v>#REF!</v>
      </c>
      <c r="HE39" t="e">
        <f>AND(#REF!,"AAAAAF/9rdQ=")</f>
        <v>#REF!</v>
      </c>
      <c r="HF39" t="e">
        <f>AND(#REF!,"AAAAAF/9rdU=")</f>
        <v>#REF!</v>
      </c>
      <c r="HG39" t="e">
        <f>AND(#REF!,"AAAAAF/9rdY=")</f>
        <v>#REF!</v>
      </c>
      <c r="HH39" t="e">
        <f>AND(#REF!,"AAAAAF/9rdc=")</f>
        <v>#REF!</v>
      </c>
      <c r="HI39" t="e">
        <f>AND(#REF!,"AAAAAF/9rdg=")</f>
        <v>#REF!</v>
      </c>
      <c r="HJ39" t="e">
        <f>AND(#REF!,"AAAAAF/9rdk=")</f>
        <v>#REF!</v>
      </c>
      <c r="HK39" t="e">
        <f>AND(#REF!,"AAAAAF/9rdo=")</f>
        <v>#REF!</v>
      </c>
      <c r="HL39" t="e">
        <f>AND(#REF!,"AAAAAF/9rds=")</f>
        <v>#REF!</v>
      </c>
      <c r="HM39" t="e">
        <f>AND(#REF!,"AAAAAF/9rdw=")</f>
        <v>#REF!</v>
      </c>
      <c r="HN39" t="e">
        <f>AND(#REF!,"AAAAAF/9rd0=")</f>
        <v>#REF!</v>
      </c>
      <c r="HO39" t="e">
        <f>AND(#REF!,"AAAAAF/9rd4=")</f>
        <v>#REF!</v>
      </c>
      <c r="HP39" t="e">
        <f>AND(#REF!,"AAAAAF/9rd8=")</f>
        <v>#REF!</v>
      </c>
      <c r="HQ39" t="e">
        <f>AND(#REF!,"AAAAAF/9reA=")</f>
        <v>#REF!</v>
      </c>
      <c r="HR39" t="e">
        <f>AND(#REF!,"AAAAAF/9reE=")</f>
        <v>#REF!</v>
      </c>
      <c r="HS39" t="e">
        <f>AND(#REF!,"AAAAAF/9reI=")</f>
        <v>#REF!</v>
      </c>
      <c r="HT39" t="e">
        <f>IF(#REF!,"AAAAAF/9reM=",0)</f>
        <v>#REF!</v>
      </c>
      <c r="HU39" t="e">
        <f>AND(#REF!,"AAAAAF/9reQ=")</f>
        <v>#REF!</v>
      </c>
      <c r="HV39" t="e">
        <f>AND(#REF!,"AAAAAF/9reU=")</f>
        <v>#REF!</v>
      </c>
      <c r="HW39" t="e">
        <f>AND(#REF!,"AAAAAF/9reY=")</f>
        <v>#REF!</v>
      </c>
      <c r="HX39" t="e">
        <f>AND(#REF!,"AAAAAF/9rec=")</f>
        <v>#REF!</v>
      </c>
      <c r="HY39" t="e">
        <f>AND(#REF!,"AAAAAF/9reg=")</f>
        <v>#REF!</v>
      </c>
      <c r="HZ39" t="e">
        <f>AND(#REF!,"AAAAAF/9rek=")</f>
        <v>#REF!</v>
      </c>
      <c r="IA39" t="e">
        <f>AND(#REF!,"AAAAAF/9reo=")</f>
        <v>#REF!</v>
      </c>
      <c r="IB39" t="e">
        <f>AND(#REF!,"AAAAAF/9res=")</f>
        <v>#REF!</v>
      </c>
      <c r="IC39" t="e">
        <f>AND(#REF!,"AAAAAF/9rew=")</f>
        <v>#REF!</v>
      </c>
      <c r="ID39" t="e">
        <f>AND(#REF!,"AAAAAF/9re0=")</f>
        <v>#REF!</v>
      </c>
      <c r="IE39" t="e">
        <f>AND(#REF!,"AAAAAF/9re4=")</f>
        <v>#REF!</v>
      </c>
      <c r="IF39" t="e">
        <f>AND(#REF!,"AAAAAF/9re8=")</f>
        <v>#REF!</v>
      </c>
      <c r="IG39" t="e">
        <f>AND(#REF!,"AAAAAF/9rfA=")</f>
        <v>#REF!</v>
      </c>
      <c r="IH39" t="e">
        <f>AND(#REF!,"AAAAAF/9rfE=")</f>
        <v>#REF!</v>
      </c>
      <c r="II39" t="e">
        <f>AND(#REF!,"AAAAAF/9rfI=")</f>
        <v>#REF!</v>
      </c>
      <c r="IJ39" t="e">
        <f>AND(#REF!,"AAAAAF/9rfM=")</f>
        <v>#REF!</v>
      </c>
      <c r="IK39" t="e">
        <f>AND(#REF!,"AAAAAF/9rfQ=")</f>
        <v>#REF!</v>
      </c>
      <c r="IL39" t="e">
        <f>AND(#REF!,"AAAAAF/9rfU=")</f>
        <v>#REF!</v>
      </c>
      <c r="IM39" t="e">
        <f>AND(#REF!,"AAAAAF/9rfY=")</f>
        <v>#REF!</v>
      </c>
      <c r="IN39" t="e">
        <f>AND(#REF!,"AAAAAF/9rfc=")</f>
        <v>#REF!</v>
      </c>
      <c r="IO39" t="e">
        <f>IF(#REF!,"AAAAAF/9rfg=",0)</f>
        <v>#REF!</v>
      </c>
      <c r="IP39" t="e">
        <f>AND(#REF!,"AAAAAF/9rfk=")</f>
        <v>#REF!</v>
      </c>
      <c r="IQ39" t="e">
        <f>AND(#REF!,"AAAAAF/9rfo=")</f>
        <v>#REF!</v>
      </c>
      <c r="IR39" t="e">
        <f>AND(#REF!,"AAAAAF/9rfs=")</f>
        <v>#REF!</v>
      </c>
      <c r="IS39" t="e">
        <f>AND(#REF!,"AAAAAF/9rfw=")</f>
        <v>#REF!</v>
      </c>
      <c r="IT39" t="e">
        <f>AND(#REF!,"AAAAAF/9rf0=")</f>
        <v>#REF!</v>
      </c>
      <c r="IU39" t="e">
        <f>AND(#REF!,"AAAAAF/9rf4=")</f>
        <v>#REF!</v>
      </c>
      <c r="IV39" t="e">
        <f>AND(#REF!,"AAAAAF/9rf8=")</f>
        <v>#REF!</v>
      </c>
    </row>
    <row r="40" spans="1:256" x14ac:dyDescent="0.25">
      <c r="A40" t="e">
        <f>AND(#REF!,"AAAAAH++/QA=")</f>
        <v>#REF!</v>
      </c>
      <c r="B40" t="e">
        <f>AND(#REF!,"AAAAAH++/QE=")</f>
        <v>#REF!</v>
      </c>
      <c r="C40" t="e">
        <f>AND(#REF!,"AAAAAH++/QI=")</f>
        <v>#REF!</v>
      </c>
      <c r="D40" t="e">
        <f>AND(#REF!,"AAAAAH++/QM=")</f>
        <v>#REF!</v>
      </c>
      <c r="E40" t="e">
        <f>AND(#REF!,"AAAAAH++/QQ=")</f>
        <v>#REF!</v>
      </c>
      <c r="F40" t="e">
        <f>AND(#REF!,"AAAAAH++/QU=")</f>
        <v>#REF!</v>
      </c>
      <c r="G40" t="e">
        <f>AND(#REF!,"AAAAAH++/QY=")</f>
        <v>#REF!</v>
      </c>
      <c r="H40" t="e">
        <f>AND(#REF!,"AAAAAH++/Qc=")</f>
        <v>#REF!</v>
      </c>
      <c r="I40" t="e">
        <f>AND(#REF!,"AAAAAH++/Qg=")</f>
        <v>#REF!</v>
      </c>
      <c r="J40" t="e">
        <f>AND(#REF!,"AAAAAH++/Qk=")</f>
        <v>#REF!</v>
      </c>
      <c r="K40" t="e">
        <f>AND(#REF!,"AAAAAH++/Qo=")</f>
        <v>#REF!</v>
      </c>
      <c r="L40" t="e">
        <f>AND(#REF!,"AAAAAH++/Qs=")</f>
        <v>#REF!</v>
      </c>
      <c r="M40" t="e">
        <f>AND(#REF!,"AAAAAH++/Qw=")</f>
        <v>#REF!</v>
      </c>
      <c r="N40" t="e">
        <f>IF(#REF!,"AAAAAH++/Q0=",0)</f>
        <v>#REF!</v>
      </c>
      <c r="O40" t="e">
        <f>AND(#REF!,"AAAAAH++/Q4=")</f>
        <v>#REF!</v>
      </c>
      <c r="P40" t="e">
        <f>AND(#REF!,"AAAAAH++/Q8=")</f>
        <v>#REF!</v>
      </c>
      <c r="Q40" t="e">
        <f>AND(#REF!,"AAAAAH++/RA=")</f>
        <v>#REF!</v>
      </c>
      <c r="R40" t="e">
        <f>AND(#REF!,"AAAAAH++/RE=")</f>
        <v>#REF!</v>
      </c>
      <c r="S40" t="e">
        <f>AND(#REF!,"AAAAAH++/RI=")</f>
        <v>#REF!</v>
      </c>
      <c r="T40" t="e">
        <f>AND(#REF!,"AAAAAH++/RM=")</f>
        <v>#REF!</v>
      </c>
      <c r="U40" t="e">
        <f>AND(#REF!,"AAAAAH++/RQ=")</f>
        <v>#REF!</v>
      </c>
      <c r="V40" t="e">
        <f>AND(#REF!,"AAAAAH++/RU=")</f>
        <v>#REF!</v>
      </c>
      <c r="W40" t="e">
        <f>AND(#REF!,"AAAAAH++/RY=")</f>
        <v>#REF!</v>
      </c>
      <c r="X40" t="e">
        <f>AND(#REF!,"AAAAAH++/Rc=")</f>
        <v>#REF!</v>
      </c>
      <c r="Y40" t="e">
        <f>AND(#REF!,"AAAAAH++/Rg=")</f>
        <v>#REF!</v>
      </c>
      <c r="Z40" t="e">
        <f>AND(#REF!,"AAAAAH++/Rk=")</f>
        <v>#REF!</v>
      </c>
      <c r="AA40" t="e">
        <f>AND(#REF!,"AAAAAH++/Ro=")</f>
        <v>#REF!</v>
      </c>
      <c r="AB40" t="e">
        <f>AND(#REF!,"AAAAAH++/Rs=")</f>
        <v>#REF!</v>
      </c>
      <c r="AC40" t="e">
        <f>AND(#REF!,"AAAAAH++/Rw=")</f>
        <v>#REF!</v>
      </c>
      <c r="AD40" t="e">
        <f>AND(#REF!,"AAAAAH++/R0=")</f>
        <v>#REF!</v>
      </c>
      <c r="AE40" t="e">
        <f>AND(#REF!,"AAAAAH++/R4=")</f>
        <v>#REF!</v>
      </c>
      <c r="AF40" t="e">
        <f>AND(#REF!,"AAAAAH++/R8=")</f>
        <v>#REF!</v>
      </c>
      <c r="AG40" t="e">
        <f>AND(#REF!,"AAAAAH++/SA=")</f>
        <v>#REF!</v>
      </c>
      <c r="AH40" t="e">
        <f>AND(#REF!,"AAAAAH++/SE=")</f>
        <v>#REF!</v>
      </c>
      <c r="AI40" t="e">
        <f>IF(#REF!,"AAAAAH++/SI=",0)</f>
        <v>#REF!</v>
      </c>
      <c r="AJ40" t="e">
        <f>AND(#REF!,"AAAAAH++/SM=")</f>
        <v>#REF!</v>
      </c>
      <c r="AK40" t="e">
        <f>AND(#REF!,"AAAAAH++/SQ=")</f>
        <v>#REF!</v>
      </c>
      <c r="AL40" t="e">
        <f>AND(#REF!,"AAAAAH++/SU=")</f>
        <v>#REF!</v>
      </c>
      <c r="AM40" t="e">
        <f>AND(#REF!,"AAAAAH++/SY=")</f>
        <v>#REF!</v>
      </c>
      <c r="AN40" t="e">
        <f>AND(#REF!,"AAAAAH++/Sc=")</f>
        <v>#REF!</v>
      </c>
      <c r="AO40" t="e">
        <f>AND(#REF!,"AAAAAH++/Sg=")</f>
        <v>#REF!</v>
      </c>
      <c r="AP40" t="e">
        <f>AND(#REF!,"AAAAAH++/Sk=")</f>
        <v>#REF!</v>
      </c>
      <c r="AQ40" t="e">
        <f>AND(#REF!,"AAAAAH++/So=")</f>
        <v>#REF!</v>
      </c>
      <c r="AR40" t="e">
        <f>AND(#REF!,"AAAAAH++/Ss=")</f>
        <v>#REF!</v>
      </c>
      <c r="AS40" t="e">
        <f>AND(#REF!,"AAAAAH++/Sw=")</f>
        <v>#REF!</v>
      </c>
      <c r="AT40" t="e">
        <f>AND(#REF!,"AAAAAH++/S0=")</f>
        <v>#REF!</v>
      </c>
      <c r="AU40" t="e">
        <f>AND(#REF!,"AAAAAH++/S4=")</f>
        <v>#REF!</v>
      </c>
      <c r="AV40" t="e">
        <f>AND(#REF!,"AAAAAH++/S8=")</f>
        <v>#REF!</v>
      </c>
      <c r="AW40" t="e">
        <f>AND(#REF!,"AAAAAH++/TA=")</f>
        <v>#REF!</v>
      </c>
      <c r="AX40" t="e">
        <f>AND(#REF!,"AAAAAH++/TE=")</f>
        <v>#REF!</v>
      </c>
      <c r="AY40" t="e">
        <f>AND(#REF!,"AAAAAH++/TI=")</f>
        <v>#REF!</v>
      </c>
      <c r="AZ40" t="e">
        <f>AND(#REF!,"AAAAAH++/TM=")</f>
        <v>#REF!</v>
      </c>
      <c r="BA40" t="e">
        <f>AND(#REF!,"AAAAAH++/TQ=")</f>
        <v>#REF!</v>
      </c>
      <c r="BB40" t="e">
        <f>AND(#REF!,"AAAAAH++/TU=")</f>
        <v>#REF!</v>
      </c>
      <c r="BC40" t="e">
        <f>AND(#REF!,"AAAAAH++/TY=")</f>
        <v>#REF!</v>
      </c>
      <c r="BD40" t="e">
        <f>IF(#REF!,"AAAAAH++/Tc=",0)</f>
        <v>#REF!</v>
      </c>
      <c r="BE40" t="e">
        <f>AND(#REF!,"AAAAAH++/Tg=")</f>
        <v>#REF!</v>
      </c>
      <c r="BF40" t="e">
        <f>AND(#REF!,"AAAAAH++/Tk=")</f>
        <v>#REF!</v>
      </c>
      <c r="BG40" t="e">
        <f>AND(#REF!,"AAAAAH++/To=")</f>
        <v>#REF!</v>
      </c>
      <c r="BH40" t="e">
        <f>AND(#REF!,"AAAAAH++/Ts=")</f>
        <v>#REF!</v>
      </c>
      <c r="BI40" t="e">
        <f>AND(#REF!,"AAAAAH++/Tw=")</f>
        <v>#REF!</v>
      </c>
      <c r="BJ40" t="e">
        <f>AND(#REF!,"AAAAAH++/T0=")</f>
        <v>#REF!</v>
      </c>
      <c r="BK40" t="e">
        <f>AND(#REF!,"AAAAAH++/T4=")</f>
        <v>#REF!</v>
      </c>
      <c r="BL40" t="e">
        <f>AND(#REF!,"AAAAAH++/T8=")</f>
        <v>#REF!</v>
      </c>
      <c r="BM40" t="e">
        <f>AND(#REF!,"AAAAAH++/UA=")</f>
        <v>#REF!</v>
      </c>
      <c r="BN40" t="e">
        <f>AND(#REF!,"AAAAAH++/UE=")</f>
        <v>#REF!</v>
      </c>
      <c r="BO40" t="e">
        <f>AND(#REF!,"AAAAAH++/UI=")</f>
        <v>#REF!</v>
      </c>
      <c r="BP40" t="e">
        <f>AND(#REF!,"AAAAAH++/UM=")</f>
        <v>#REF!</v>
      </c>
      <c r="BQ40" t="e">
        <f>AND(#REF!,"AAAAAH++/UQ=")</f>
        <v>#REF!</v>
      </c>
      <c r="BR40" t="e">
        <f>AND(#REF!,"AAAAAH++/UU=")</f>
        <v>#REF!</v>
      </c>
      <c r="BS40" t="e">
        <f>AND(#REF!,"AAAAAH++/UY=")</f>
        <v>#REF!</v>
      </c>
      <c r="BT40" t="e">
        <f>AND(#REF!,"AAAAAH++/Uc=")</f>
        <v>#REF!</v>
      </c>
      <c r="BU40" t="e">
        <f>AND(#REF!,"AAAAAH++/Ug=")</f>
        <v>#REF!</v>
      </c>
      <c r="BV40" t="e">
        <f>AND(#REF!,"AAAAAH++/Uk=")</f>
        <v>#REF!</v>
      </c>
      <c r="BW40" t="e">
        <f>AND(#REF!,"AAAAAH++/Uo=")</f>
        <v>#REF!</v>
      </c>
      <c r="BX40" t="e">
        <f>AND(#REF!,"AAAAAH++/Us=")</f>
        <v>#REF!</v>
      </c>
      <c r="BY40" t="e">
        <f>IF(#REF!,"AAAAAH++/Uw=",0)</f>
        <v>#REF!</v>
      </c>
      <c r="BZ40" t="e">
        <f>AND(#REF!,"AAAAAH++/U0=")</f>
        <v>#REF!</v>
      </c>
      <c r="CA40" t="e">
        <f>AND(#REF!,"AAAAAH++/U4=")</f>
        <v>#REF!</v>
      </c>
      <c r="CB40" t="e">
        <f>AND(#REF!,"AAAAAH++/U8=")</f>
        <v>#REF!</v>
      </c>
      <c r="CC40" t="e">
        <f>AND(#REF!,"AAAAAH++/VA=")</f>
        <v>#REF!</v>
      </c>
      <c r="CD40" t="e">
        <f>AND(#REF!,"AAAAAH++/VE=")</f>
        <v>#REF!</v>
      </c>
      <c r="CE40" t="e">
        <f>AND(#REF!,"AAAAAH++/VI=")</f>
        <v>#REF!</v>
      </c>
      <c r="CF40" t="e">
        <f>AND(#REF!,"AAAAAH++/VM=")</f>
        <v>#REF!</v>
      </c>
      <c r="CG40" t="e">
        <f>AND(#REF!,"AAAAAH++/VQ=")</f>
        <v>#REF!</v>
      </c>
      <c r="CH40" t="e">
        <f>AND(#REF!,"AAAAAH++/VU=")</f>
        <v>#REF!</v>
      </c>
      <c r="CI40" t="e">
        <f>AND(#REF!,"AAAAAH++/VY=")</f>
        <v>#REF!</v>
      </c>
      <c r="CJ40" t="e">
        <f>AND(#REF!,"AAAAAH++/Vc=")</f>
        <v>#REF!</v>
      </c>
      <c r="CK40" t="e">
        <f>AND(#REF!,"AAAAAH++/Vg=")</f>
        <v>#REF!</v>
      </c>
      <c r="CL40" t="e">
        <f>AND(#REF!,"AAAAAH++/Vk=")</f>
        <v>#REF!</v>
      </c>
      <c r="CM40" t="e">
        <f>AND(#REF!,"AAAAAH++/Vo=")</f>
        <v>#REF!</v>
      </c>
      <c r="CN40" t="e">
        <f>AND(#REF!,"AAAAAH++/Vs=")</f>
        <v>#REF!</v>
      </c>
      <c r="CO40" t="e">
        <f>AND(#REF!,"AAAAAH++/Vw=")</f>
        <v>#REF!</v>
      </c>
      <c r="CP40" t="e">
        <f>AND(#REF!,"AAAAAH++/V0=")</f>
        <v>#REF!</v>
      </c>
      <c r="CQ40" t="e">
        <f>AND(#REF!,"AAAAAH++/V4=")</f>
        <v>#REF!</v>
      </c>
      <c r="CR40" t="e">
        <f>AND(#REF!,"AAAAAH++/V8=")</f>
        <v>#REF!</v>
      </c>
      <c r="CS40" t="e">
        <f>AND(#REF!,"AAAAAH++/WA=")</f>
        <v>#REF!</v>
      </c>
      <c r="CT40" t="e">
        <f>IF(#REF!,"AAAAAH++/WE=",0)</f>
        <v>#REF!</v>
      </c>
      <c r="CU40" t="e">
        <f>AND(#REF!,"AAAAAH++/WI=")</f>
        <v>#REF!</v>
      </c>
      <c r="CV40" t="e">
        <f>AND(#REF!,"AAAAAH++/WM=")</f>
        <v>#REF!</v>
      </c>
      <c r="CW40" t="e">
        <f>AND(#REF!,"AAAAAH++/WQ=")</f>
        <v>#REF!</v>
      </c>
      <c r="CX40" t="e">
        <f>AND(#REF!,"AAAAAH++/WU=")</f>
        <v>#REF!</v>
      </c>
      <c r="CY40" t="e">
        <f>AND(#REF!,"AAAAAH++/WY=")</f>
        <v>#REF!</v>
      </c>
      <c r="CZ40" t="e">
        <f>AND(#REF!,"AAAAAH++/Wc=")</f>
        <v>#REF!</v>
      </c>
      <c r="DA40" t="e">
        <f>AND(#REF!,"AAAAAH++/Wg=")</f>
        <v>#REF!</v>
      </c>
      <c r="DB40" t="e">
        <f>AND(#REF!,"AAAAAH++/Wk=")</f>
        <v>#REF!</v>
      </c>
      <c r="DC40" t="e">
        <f>AND(#REF!,"AAAAAH++/Wo=")</f>
        <v>#REF!</v>
      </c>
      <c r="DD40" t="e">
        <f>AND(#REF!,"AAAAAH++/Ws=")</f>
        <v>#REF!</v>
      </c>
      <c r="DE40" t="e">
        <f>AND(#REF!,"AAAAAH++/Ww=")</f>
        <v>#REF!</v>
      </c>
      <c r="DF40" t="e">
        <f>AND(#REF!,"AAAAAH++/W0=")</f>
        <v>#REF!</v>
      </c>
      <c r="DG40" t="e">
        <f>AND(#REF!,"AAAAAH++/W4=")</f>
        <v>#REF!</v>
      </c>
      <c r="DH40" t="e">
        <f>AND(#REF!,"AAAAAH++/W8=")</f>
        <v>#REF!</v>
      </c>
      <c r="DI40" t="e">
        <f>AND(#REF!,"AAAAAH++/XA=")</f>
        <v>#REF!</v>
      </c>
      <c r="DJ40" t="e">
        <f>AND(#REF!,"AAAAAH++/XE=")</f>
        <v>#REF!</v>
      </c>
      <c r="DK40" t="e">
        <f>AND(#REF!,"AAAAAH++/XI=")</f>
        <v>#REF!</v>
      </c>
      <c r="DL40" t="e">
        <f>AND(#REF!,"AAAAAH++/XM=")</f>
        <v>#REF!</v>
      </c>
      <c r="DM40" t="e">
        <f>AND(#REF!,"AAAAAH++/XQ=")</f>
        <v>#REF!</v>
      </c>
      <c r="DN40" t="e">
        <f>AND(#REF!,"AAAAAH++/XU=")</f>
        <v>#REF!</v>
      </c>
      <c r="DO40" t="e">
        <f>IF(#REF!,"AAAAAH++/XY=",0)</f>
        <v>#REF!</v>
      </c>
      <c r="DP40" t="e">
        <f>AND(#REF!,"AAAAAH++/Xc=")</f>
        <v>#REF!</v>
      </c>
      <c r="DQ40" t="e">
        <f>AND(#REF!,"AAAAAH++/Xg=")</f>
        <v>#REF!</v>
      </c>
      <c r="DR40" t="e">
        <f>AND(#REF!,"AAAAAH++/Xk=")</f>
        <v>#REF!</v>
      </c>
      <c r="DS40" t="e">
        <f>AND(#REF!,"AAAAAH++/Xo=")</f>
        <v>#REF!</v>
      </c>
      <c r="DT40" t="e">
        <f>AND(#REF!,"AAAAAH++/Xs=")</f>
        <v>#REF!</v>
      </c>
      <c r="DU40" t="e">
        <f>AND(#REF!,"AAAAAH++/Xw=")</f>
        <v>#REF!</v>
      </c>
      <c r="DV40" t="e">
        <f>AND(#REF!,"AAAAAH++/X0=")</f>
        <v>#REF!</v>
      </c>
      <c r="DW40" t="e">
        <f>AND(#REF!,"AAAAAH++/X4=")</f>
        <v>#REF!</v>
      </c>
      <c r="DX40" t="e">
        <f>AND(#REF!,"AAAAAH++/X8=")</f>
        <v>#REF!</v>
      </c>
      <c r="DY40" t="e">
        <f>AND(#REF!,"AAAAAH++/YA=")</f>
        <v>#REF!</v>
      </c>
      <c r="DZ40" t="e">
        <f>AND(#REF!,"AAAAAH++/YE=")</f>
        <v>#REF!</v>
      </c>
      <c r="EA40" t="e">
        <f>AND(#REF!,"AAAAAH++/YI=")</f>
        <v>#REF!</v>
      </c>
      <c r="EB40" t="e">
        <f>AND(#REF!,"AAAAAH++/YM=")</f>
        <v>#REF!</v>
      </c>
      <c r="EC40" t="e">
        <f>AND(#REF!,"AAAAAH++/YQ=")</f>
        <v>#REF!</v>
      </c>
      <c r="ED40" t="e">
        <f>AND(#REF!,"AAAAAH++/YU=")</f>
        <v>#REF!</v>
      </c>
      <c r="EE40" t="e">
        <f>AND(#REF!,"AAAAAH++/YY=")</f>
        <v>#REF!</v>
      </c>
      <c r="EF40" t="e">
        <f>AND(#REF!,"AAAAAH++/Yc=")</f>
        <v>#REF!</v>
      </c>
      <c r="EG40" t="e">
        <f>AND(#REF!,"AAAAAH++/Yg=")</f>
        <v>#REF!</v>
      </c>
      <c r="EH40" t="e">
        <f>AND(#REF!,"AAAAAH++/Yk=")</f>
        <v>#REF!</v>
      </c>
      <c r="EI40" t="e">
        <f>AND(#REF!,"AAAAAH++/Yo=")</f>
        <v>#REF!</v>
      </c>
      <c r="EJ40" t="e">
        <f>IF(#REF!,"AAAAAH++/Ys=",0)</f>
        <v>#REF!</v>
      </c>
      <c r="EK40" t="e">
        <f>AND(#REF!,"AAAAAH++/Yw=")</f>
        <v>#REF!</v>
      </c>
      <c r="EL40" t="e">
        <f>AND(#REF!,"AAAAAH++/Y0=")</f>
        <v>#REF!</v>
      </c>
      <c r="EM40" t="e">
        <f>AND(#REF!,"AAAAAH++/Y4=")</f>
        <v>#REF!</v>
      </c>
      <c r="EN40" t="e">
        <f>AND(#REF!,"AAAAAH++/Y8=")</f>
        <v>#REF!</v>
      </c>
      <c r="EO40" t="e">
        <f>AND(#REF!,"AAAAAH++/ZA=")</f>
        <v>#REF!</v>
      </c>
      <c r="EP40" t="e">
        <f>AND(#REF!,"AAAAAH++/ZE=")</f>
        <v>#REF!</v>
      </c>
      <c r="EQ40" t="e">
        <f>AND(#REF!,"AAAAAH++/ZI=")</f>
        <v>#REF!</v>
      </c>
      <c r="ER40" t="e">
        <f>AND(#REF!,"AAAAAH++/ZM=")</f>
        <v>#REF!</v>
      </c>
      <c r="ES40" t="e">
        <f>AND(#REF!,"AAAAAH++/ZQ=")</f>
        <v>#REF!</v>
      </c>
      <c r="ET40" t="e">
        <f>AND(#REF!,"AAAAAH++/ZU=")</f>
        <v>#REF!</v>
      </c>
      <c r="EU40" t="e">
        <f>AND(#REF!,"AAAAAH++/ZY=")</f>
        <v>#REF!</v>
      </c>
      <c r="EV40" t="e">
        <f>AND(#REF!,"AAAAAH++/Zc=")</f>
        <v>#REF!</v>
      </c>
      <c r="EW40" t="e">
        <f>AND(#REF!,"AAAAAH++/Zg=")</f>
        <v>#REF!</v>
      </c>
      <c r="EX40" t="e">
        <f>AND(#REF!,"AAAAAH++/Zk=")</f>
        <v>#REF!</v>
      </c>
      <c r="EY40" t="e">
        <f>AND(#REF!,"AAAAAH++/Zo=")</f>
        <v>#REF!</v>
      </c>
      <c r="EZ40" t="e">
        <f>AND(#REF!,"AAAAAH++/Zs=")</f>
        <v>#REF!</v>
      </c>
      <c r="FA40" t="e">
        <f>AND(#REF!,"AAAAAH++/Zw=")</f>
        <v>#REF!</v>
      </c>
      <c r="FB40" t="e">
        <f>AND(#REF!,"AAAAAH++/Z0=")</f>
        <v>#REF!</v>
      </c>
      <c r="FC40" t="e">
        <f>AND(#REF!,"AAAAAH++/Z4=")</f>
        <v>#REF!</v>
      </c>
      <c r="FD40" t="e">
        <f>AND(#REF!,"AAAAAH++/Z8=")</f>
        <v>#REF!</v>
      </c>
      <c r="FE40" t="e">
        <f>IF(#REF!,"AAAAAH++/aA=",0)</f>
        <v>#REF!</v>
      </c>
      <c r="FF40" t="e">
        <f>AND(#REF!,"AAAAAH++/aE=")</f>
        <v>#REF!</v>
      </c>
      <c r="FG40" t="e">
        <f>AND(#REF!,"AAAAAH++/aI=")</f>
        <v>#REF!</v>
      </c>
      <c r="FH40" t="e">
        <f>AND(#REF!,"AAAAAH++/aM=")</f>
        <v>#REF!</v>
      </c>
      <c r="FI40" t="e">
        <f>AND(#REF!,"AAAAAH++/aQ=")</f>
        <v>#REF!</v>
      </c>
      <c r="FJ40" t="e">
        <f>AND(#REF!,"AAAAAH++/aU=")</f>
        <v>#REF!</v>
      </c>
      <c r="FK40" t="e">
        <f>AND(#REF!,"AAAAAH++/aY=")</f>
        <v>#REF!</v>
      </c>
      <c r="FL40" t="e">
        <f>AND(#REF!,"AAAAAH++/ac=")</f>
        <v>#REF!</v>
      </c>
      <c r="FM40" t="e">
        <f>AND(#REF!,"AAAAAH++/ag=")</f>
        <v>#REF!</v>
      </c>
      <c r="FN40" t="e">
        <f>AND(#REF!,"AAAAAH++/ak=")</f>
        <v>#REF!</v>
      </c>
      <c r="FO40" t="e">
        <f>AND(#REF!,"AAAAAH++/ao=")</f>
        <v>#REF!</v>
      </c>
      <c r="FP40" t="e">
        <f>AND(#REF!,"AAAAAH++/as=")</f>
        <v>#REF!</v>
      </c>
      <c r="FQ40" t="e">
        <f>AND(#REF!,"AAAAAH++/aw=")</f>
        <v>#REF!</v>
      </c>
      <c r="FR40" t="e">
        <f>AND(#REF!,"AAAAAH++/a0=")</f>
        <v>#REF!</v>
      </c>
      <c r="FS40" t="e">
        <f>AND(#REF!,"AAAAAH++/a4=")</f>
        <v>#REF!</v>
      </c>
      <c r="FT40" t="e">
        <f>AND(#REF!,"AAAAAH++/a8=")</f>
        <v>#REF!</v>
      </c>
      <c r="FU40" t="e">
        <f>AND(#REF!,"AAAAAH++/bA=")</f>
        <v>#REF!</v>
      </c>
      <c r="FV40" t="e">
        <f>AND(#REF!,"AAAAAH++/bE=")</f>
        <v>#REF!</v>
      </c>
      <c r="FW40" t="e">
        <f>AND(#REF!,"AAAAAH++/bI=")</f>
        <v>#REF!</v>
      </c>
      <c r="FX40" t="e">
        <f>AND(#REF!,"AAAAAH++/bM=")</f>
        <v>#REF!</v>
      </c>
      <c r="FY40" t="e">
        <f>AND(#REF!,"AAAAAH++/bQ=")</f>
        <v>#REF!</v>
      </c>
      <c r="FZ40" t="e">
        <f>IF(#REF!,"AAAAAH++/bU=",0)</f>
        <v>#REF!</v>
      </c>
      <c r="GA40" t="e">
        <f>AND(#REF!,"AAAAAH++/bY=")</f>
        <v>#REF!</v>
      </c>
      <c r="GB40" t="e">
        <f>AND(#REF!,"AAAAAH++/bc=")</f>
        <v>#REF!</v>
      </c>
      <c r="GC40" t="e">
        <f>AND(#REF!,"AAAAAH++/bg=")</f>
        <v>#REF!</v>
      </c>
      <c r="GD40" t="e">
        <f>AND(#REF!,"AAAAAH++/bk=")</f>
        <v>#REF!</v>
      </c>
      <c r="GE40" t="e">
        <f>AND(#REF!,"AAAAAH++/bo=")</f>
        <v>#REF!</v>
      </c>
      <c r="GF40" t="e">
        <f>AND(#REF!,"AAAAAH++/bs=")</f>
        <v>#REF!</v>
      </c>
      <c r="GG40" t="e">
        <f>AND(#REF!,"AAAAAH++/bw=")</f>
        <v>#REF!</v>
      </c>
      <c r="GH40" t="e">
        <f>AND(#REF!,"AAAAAH++/b0=")</f>
        <v>#REF!</v>
      </c>
      <c r="GI40" t="e">
        <f>AND(#REF!,"AAAAAH++/b4=")</f>
        <v>#REF!</v>
      </c>
      <c r="GJ40" t="e">
        <f>AND(#REF!,"AAAAAH++/b8=")</f>
        <v>#REF!</v>
      </c>
      <c r="GK40" t="e">
        <f>AND(#REF!,"AAAAAH++/cA=")</f>
        <v>#REF!</v>
      </c>
      <c r="GL40" t="e">
        <f>AND(#REF!,"AAAAAH++/cE=")</f>
        <v>#REF!</v>
      </c>
      <c r="GM40" t="e">
        <f>AND(#REF!,"AAAAAH++/cI=")</f>
        <v>#REF!</v>
      </c>
      <c r="GN40" t="e">
        <f>AND(#REF!,"AAAAAH++/cM=")</f>
        <v>#REF!</v>
      </c>
      <c r="GO40" t="e">
        <f>AND(#REF!,"AAAAAH++/cQ=")</f>
        <v>#REF!</v>
      </c>
      <c r="GP40" t="e">
        <f>AND(#REF!,"AAAAAH++/cU=")</f>
        <v>#REF!</v>
      </c>
      <c r="GQ40" t="e">
        <f>AND(#REF!,"AAAAAH++/cY=")</f>
        <v>#REF!</v>
      </c>
      <c r="GR40" t="e">
        <f>AND(#REF!,"AAAAAH++/cc=")</f>
        <v>#REF!</v>
      </c>
      <c r="GS40" t="e">
        <f>AND(#REF!,"AAAAAH++/cg=")</f>
        <v>#REF!</v>
      </c>
      <c r="GT40" t="e">
        <f>AND(#REF!,"AAAAAH++/ck=")</f>
        <v>#REF!</v>
      </c>
      <c r="GU40" t="e">
        <f>IF(#REF!,"AAAAAH++/co=",0)</f>
        <v>#REF!</v>
      </c>
      <c r="GV40" t="e">
        <f>AND(#REF!,"AAAAAH++/cs=")</f>
        <v>#REF!</v>
      </c>
      <c r="GW40" t="e">
        <f>AND(#REF!,"AAAAAH++/cw=")</f>
        <v>#REF!</v>
      </c>
      <c r="GX40" t="e">
        <f>AND(#REF!,"AAAAAH++/c0=")</f>
        <v>#REF!</v>
      </c>
      <c r="GY40" t="e">
        <f>AND(#REF!,"AAAAAH++/c4=")</f>
        <v>#REF!</v>
      </c>
      <c r="GZ40" t="e">
        <f>AND(#REF!,"AAAAAH++/c8=")</f>
        <v>#REF!</v>
      </c>
      <c r="HA40" t="e">
        <f>AND(#REF!,"AAAAAH++/dA=")</f>
        <v>#REF!</v>
      </c>
      <c r="HB40" t="e">
        <f>AND(#REF!,"AAAAAH++/dE=")</f>
        <v>#REF!</v>
      </c>
      <c r="HC40" t="e">
        <f>AND(#REF!,"AAAAAH++/dI=")</f>
        <v>#REF!</v>
      </c>
      <c r="HD40" t="e">
        <f>AND(#REF!,"AAAAAH++/dM=")</f>
        <v>#REF!</v>
      </c>
      <c r="HE40" t="e">
        <f>AND(#REF!,"AAAAAH++/dQ=")</f>
        <v>#REF!</v>
      </c>
      <c r="HF40" t="e">
        <f>AND(#REF!,"AAAAAH++/dU=")</f>
        <v>#REF!</v>
      </c>
      <c r="HG40" t="e">
        <f>AND(#REF!,"AAAAAH++/dY=")</f>
        <v>#REF!</v>
      </c>
      <c r="HH40" t="e">
        <f>AND(#REF!,"AAAAAH++/dc=")</f>
        <v>#REF!</v>
      </c>
      <c r="HI40" t="e">
        <f>AND(#REF!,"AAAAAH++/dg=")</f>
        <v>#REF!</v>
      </c>
      <c r="HJ40" t="e">
        <f>AND(#REF!,"AAAAAH++/dk=")</f>
        <v>#REF!</v>
      </c>
      <c r="HK40" t="e">
        <f>AND(#REF!,"AAAAAH++/do=")</f>
        <v>#REF!</v>
      </c>
      <c r="HL40" t="e">
        <f>AND(#REF!,"AAAAAH++/ds=")</f>
        <v>#REF!</v>
      </c>
      <c r="HM40" t="e">
        <f>AND(#REF!,"AAAAAH++/dw=")</f>
        <v>#REF!</v>
      </c>
      <c r="HN40" t="e">
        <f>AND(#REF!,"AAAAAH++/d0=")</f>
        <v>#REF!</v>
      </c>
      <c r="HO40" t="e">
        <f>AND(#REF!,"AAAAAH++/d4=")</f>
        <v>#REF!</v>
      </c>
      <c r="HP40" t="e">
        <f>IF(#REF!,"AAAAAH++/d8=",0)</f>
        <v>#REF!</v>
      </c>
      <c r="HQ40" t="e">
        <f>AND(#REF!,"AAAAAH++/eA=")</f>
        <v>#REF!</v>
      </c>
      <c r="HR40" t="e">
        <f>AND(#REF!,"AAAAAH++/eE=")</f>
        <v>#REF!</v>
      </c>
      <c r="HS40" t="e">
        <f>AND(#REF!,"AAAAAH++/eI=")</f>
        <v>#REF!</v>
      </c>
      <c r="HT40" t="e">
        <f>AND(#REF!,"AAAAAH++/eM=")</f>
        <v>#REF!</v>
      </c>
      <c r="HU40" t="e">
        <f>AND(#REF!,"AAAAAH++/eQ=")</f>
        <v>#REF!</v>
      </c>
      <c r="HV40" t="e">
        <f>AND(#REF!,"AAAAAH++/eU=")</f>
        <v>#REF!</v>
      </c>
      <c r="HW40" t="e">
        <f>AND(#REF!,"AAAAAH++/eY=")</f>
        <v>#REF!</v>
      </c>
      <c r="HX40" t="e">
        <f>AND(#REF!,"AAAAAH++/ec=")</f>
        <v>#REF!</v>
      </c>
      <c r="HY40" t="e">
        <f>AND(#REF!,"AAAAAH++/eg=")</f>
        <v>#REF!</v>
      </c>
      <c r="HZ40" t="e">
        <f>AND(#REF!,"AAAAAH++/ek=")</f>
        <v>#REF!</v>
      </c>
      <c r="IA40" t="e">
        <f>AND(#REF!,"AAAAAH++/eo=")</f>
        <v>#REF!</v>
      </c>
      <c r="IB40" t="e">
        <f>AND(#REF!,"AAAAAH++/es=")</f>
        <v>#REF!</v>
      </c>
      <c r="IC40" t="e">
        <f>AND(#REF!,"AAAAAH++/ew=")</f>
        <v>#REF!</v>
      </c>
      <c r="ID40" t="e">
        <f>AND(#REF!,"AAAAAH++/e0=")</f>
        <v>#REF!</v>
      </c>
      <c r="IE40" t="e">
        <f>AND(#REF!,"AAAAAH++/e4=")</f>
        <v>#REF!</v>
      </c>
      <c r="IF40" t="e">
        <f>AND(#REF!,"AAAAAH++/e8=")</f>
        <v>#REF!</v>
      </c>
      <c r="IG40" t="e">
        <f>AND(#REF!,"AAAAAH++/fA=")</f>
        <v>#REF!</v>
      </c>
      <c r="IH40" t="e">
        <f>AND(#REF!,"AAAAAH++/fE=")</f>
        <v>#REF!</v>
      </c>
      <c r="II40" t="e">
        <f>AND(#REF!,"AAAAAH++/fI=")</f>
        <v>#REF!</v>
      </c>
      <c r="IJ40" t="e">
        <f>AND(#REF!,"AAAAAH++/fM=")</f>
        <v>#REF!</v>
      </c>
      <c r="IK40" t="e">
        <f>IF(#REF!,"AAAAAH++/fQ=",0)</f>
        <v>#REF!</v>
      </c>
      <c r="IL40" t="e">
        <f>AND(#REF!,"AAAAAH++/fU=")</f>
        <v>#REF!</v>
      </c>
      <c r="IM40" t="e">
        <f>AND(#REF!,"AAAAAH++/fY=")</f>
        <v>#REF!</v>
      </c>
      <c r="IN40" t="e">
        <f>AND(#REF!,"AAAAAH++/fc=")</f>
        <v>#REF!</v>
      </c>
      <c r="IO40" t="e">
        <f>AND(#REF!,"AAAAAH++/fg=")</f>
        <v>#REF!</v>
      </c>
      <c r="IP40" t="e">
        <f>AND(#REF!,"AAAAAH++/fk=")</f>
        <v>#REF!</v>
      </c>
      <c r="IQ40" t="e">
        <f>AND(#REF!,"AAAAAH++/fo=")</f>
        <v>#REF!</v>
      </c>
      <c r="IR40" t="e">
        <f>AND(#REF!,"AAAAAH++/fs=")</f>
        <v>#REF!</v>
      </c>
      <c r="IS40" t="e">
        <f>AND(#REF!,"AAAAAH++/fw=")</f>
        <v>#REF!</v>
      </c>
      <c r="IT40" t="e">
        <f>AND(#REF!,"AAAAAH++/f0=")</f>
        <v>#REF!</v>
      </c>
      <c r="IU40" t="e">
        <f>AND(#REF!,"AAAAAH++/f4=")</f>
        <v>#REF!</v>
      </c>
      <c r="IV40" t="e">
        <f>AND(#REF!,"AAAAAH++/f8=")</f>
        <v>#REF!</v>
      </c>
    </row>
    <row r="41" spans="1:256" x14ac:dyDescent="0.25">
      <c r="A41" t="e">
        <f>AND(#REF!,"AAAAAC8+xwA=")</f>
        <v>#REF!</v>
      </c>
      <c r="B41" t="e">
        <f>AND(#REF!,"AAAAAC8+xwE=")</f>
        <v>#REF!</v>
      </c>
      <c r="C41" t="e">
        <f>AND(#REF!,"AAAAAC8+xwI=")</f>
        <v>#REF!</v>
      </c>
      <c r="D41" t="e">
        <f>AND(#REF!,"AAAAAC8+xwM=")</f>
        <v>#REF!</v>
      </c>
      <c r="E41" t="e">
        <f>AND(#REF!,"AAAAAC8+xwQ=")</f>
        <v>#REF!</v>
      </c>
      <c r="F41" t="e">
        <f>AND(#REF!,"AAAAAC8+xwU=")</f>
        <v>#REF!</v>
      </c>
      <c r="G41" t="e">
        <f>AND(#REF!,"AAAAAC8+xwY=")</f>
        <v>#REF!</v>
      </c>
      <c r="H41" t="e">
        <f>AND(#REF!,"AAAAAC8+xwc=")</f>
        <v>#REF!</v>
      </c>
      <c r="I41" t="e">
        <f>AND(#REF!,"AAAAAC8+xwg=")</f>
        <v>#REF!</v>
      </c>
      <c r="J41" t="e">
        <f>IF(#REF!,"AAAAAC8+xwk=",0)</f>
        <v>#REF!</v>
      </c>
      <c r="K41" t="e">
        <f>AND(#REF!,"AAAAAC8+xwo=")</f>
        <v>#REF!</v>
      </c>
      <c r="L41" t="e">
        <f>AND(#REF!,"AAAAAC8+xws=")</f>
        <v>#REF!</v>
      </c>
      <c r="M41" t="e">
        <f>AND(#REF!,"AAAAAC8+xww=")</f>
        <v>#REF!</v>
      </c>
      <c r="N41" t="e">
        <f>AND(#REF!,"AAAAAC8+xw0=")</f>
        <v>#REF!</v>
      </c>
      <c r="O41" t="e">
        <f>AND(#REF!,"AAAAAC8+xw4=")</f>
        <v>#REF!</v>
      </c>
      <c r="P41" t="e">
        <f>AND(#REF!,"AAAAAC8+xw8=")</f>
        <v>#REF!</v>
      </c>
      <c r="Q41" t="e">
        <f>AND(#REF!,"AAAAAC8+xxA=")</f>
        <v>#REF!</v>
      </c>
      <c r="R41" t="e">
        <f>AND(#REF!,"AAAAAC8+xxE=")</f>
        <v>#REF!</v>
      </c>
      <c r="S41" t="e">
        <f>AND(#REF!,"AAAAAC8+xxI=")</f>
        <v>#REF!</v>
      </c>
      <c r="T41" t="e">
        <f>AND(#REF!,"AAAAAC8+xxM=")</f>
        <v>#REF!</v>
      </c>
      <c r="U41" t="e">
        <f>AND(#REF!,"AAAAAC8+xxQ=")</f>
        <v>#REF!</v>
      </c>
      <c r="V41" t="e">
        <f>AND(#REF!,"AAAAAC8+xxU=")</f>
        <v>#REF!</v>
      </c>
      <c r="W41" t="e">
        <f>AND(#REF!,"AAAAAC8+xxY=")</f>
        <v>#REF!</v>
      </c>
      <c r="X41" t="e">
        <f>AND(#REF!,"AAAAAC8+xxc=")</f>
        <v>#REF!</v>
      </c>
      <c r="Y41" t="e">
        <f>AND(#REF!,"AAAAAC8+xxg=")</f>
        <v>#REF!</v>
      </c>
      <c r="Z41" t="e">
        <f>AND(#REF!,"AAAAAC8+xxk=")</f>
        <v>#REF!</v>
      </c>
      <c r="AA41" t="e">
        <f>AND(#REF!,"AAAAAC8+xxo=")</f>
        <v>#REF!</v>
      </c>
      <c r="AB41" t="e">
        <f>AND(#REF!,"AAAAAC8+xxs=")</f>
        <v>#REF!</v>
      </c>
      <c r="AC41" t="e">
        <f>AND(#REF!,"AAAAAC8+xxw=")</f>
        <v>#REF!</v>
      </c>
      <c r="AD41" t="e">
        <f>AND(#REF!,"AAAAAC8+xx0=")</f>
        <v>#REF!</v>
      </c>
      <c r="AE41" t="e">
        <f>IF(#REF!,"AAAAAC8+xx4=",0)</f>
        <v>#REF!</v>
      </c>
      <c r="AF41" t="e">
        <f>AND(#REF!,"AAAAAC8+xx8=")</f>
        <v>#REF!</v>
      </c>
      <c r="AG41" t="e">
        <f>AND(#REF!,"AAAAAC8+xyA=")</f>
        <v>#REF!</v>
      </c>
      <c r="AH41" t="e">
        <f>AND(#REF!,"AAAAAC8+xyE=")</f>
        <v>#REF!</v>
      </c>
      <c r="AI41" t="e">
        <f>AND(#REF!,"AAAAAC8+xyI=")</f>
        <v>#REF!</v>
      </c>
      <c r="AJ41" t="e">
        <f>AND(#REF!,"AAAAAC8+xyM=")</f>
        <v>#REF!</v>
      </c>
      <c r="AK41" t="e">
        <f>AND(#REF!,"AAAAAC8+xyQ=")</f>
        <v>#REF!</v>
      </c>
      <c r="AL41" t="e">
        <f>AND(#REF!,"AAAAAC8+xyU=")</f>
        <v>#REF!</v>
      </c>
      <c r="AM41" t="e">
        <f>AND(#REF!,"AAAAAC8+xyY=")</f>
        <v>#REF!</v>
      </c>
      <c r="AN41" t="e">
        <f>AND(#REF!,"AAAAAC8+xyc=")</f>
        <v>#REF!</v>
      </c>
      <c r="AO41" t="e">
        <f>AND(#REF!,"AAAAAC8+xyg=")</f>
        <v>#REF!</v>
      </c>
      <c r="AP41" t="e">
        <f>AND(#REF!,"AAAAAC8+xyk=")</f>
        <v>#REF!</v>
      </c>
      <c r="AQ41" t="e">
        <f>AND(#REF!,"AAAAAC8+xyo=")</f>
        <v>#REF!</v>
      </c>
      <c r="AR41" t="e">
        <f>AND(#REF!,"AAAAAC8+xys=")</f>
        <v>#REF!</v>
      </c>
      <c r="AS41" t="e">
        <f>AND(#REF!,"AAAAAC8+xyw=")</f>
        <v>#REF!</v>
      </c>
      <c r="AT41" t="e">
        <f>AND(#REF!,"AAAAAC8+xy0=")</f>
        <v>#REF!</v>
      </c>
      <c r="AU41" t="e">
        <f>AND(#REF!,"AAAAAC8+xy4=")</f>
        <v>#REF!</v>
      </c>
      <c r="AV41" t="e">
        <f>AND(#REF!,"AAAAAC8+xy8=")</f>
        <v>#REF!</v>
      </c>
      <c r="AW41" t="e">
        <f>AND(#REF!,"AAAAAC8+xzA=")</f>
        <v>#REF!</v>
      </c>
      <c r="AX41" t="e">
        <f>AND(#REF!,"AAAAAC8+xzE=")</f>
        <v>#REF!</v>
      </c>
      <c r="AY41" t="e">
        <f>AND(#REF!,"AAAAAC8+xzI=")</f>
        <v>#REF!</v>
      </c>
      <c r="AZ41" t="e">
        <f>IF(#REF!,"AAAAAC8+xzM=",0)</f>
        <v>#REF!</v>
      </c>
      <c r="BA41" t="e">
        <f>AND(#REF!,"AAAAAC8+xzQ=")</f>
        <v>#REF!</v>
      </c>
      <c r="BB41" t="e">
        <f>AND(#REF!,"AAAAAC8+xzU=")</f>
        <v>#REF!</v>
      </c>
      <c r="BC41" t="e">
        <f>AND(#REF!,"AAAAAC8+xzY=")</f>
        <v>#REF!</v>
      </c>
      <c r="BD41" t="e">
        <f>AND(#REF!,"AAAAAC8+xzc=")</f>
        <v>#REF!</v>
      </c>
      <c r="BE41" t="e">
        <f>AND(#REF!,"AAAAAC8+xzg=")</f>
        <v>#REF!</v>
      </c>
      <c r="BF41" t="e">
        <f>AND(#REF!,"AAAAAC8+xzk=")</f>
        <v>#REF!</v>
      </c>
      <c r="BG41" t="e">
        <f>AND(#REF!,"AAAAAC8+xzo=")</f>
        <v>#REF!</v>
      </c>
      <c r="BH41" t="e">
        <f>AND(#REF!,"AAAAAC8+xzs=")</f>
        <v>#REF!</v>
      </c>
      <c r="BI41" t="e">
        <f>AND(#REF!,"AAAAAC8+xzw=")</f>
        <v>#REF!</v>
      </c>
      <c r="BJ41" t="e">
        <f>AND(#REF!,"AAAAAC8+xz0=")</f>
        <v>#REF!</v>
      </c>
      <c r="BK41" t="e">
        <f>AND(#REF!,"AAAAAC8+xz4=")</f>
        <v>#REF!</v>
      </c>
      <c r="BL41" t="e">
        <f>AND(#REF!,"AAAAAC8+xz8=")</f>
        <v>#REF!</v>
      </c>
      <c r="BM41" t="e">
        <f>AND(#REF!,"AAAAAC8+x0A=")</f>
        <v>#REF!</v>
      </c>
      <c r="BN41" t="e">
        <f>AND(#REF!,"AAAAAC8+x0E=")</f>
        <v>#REF!</v>
      </c>
      <c r="BO41" t="e">
        <f>AND(#REF!,"AAAAAC8+x0I=")</f>
        <v>#REF!</v>
      </c>
      <c r="BP41" t="e">
        <f>AND(#REF!,"AAAAAC8+x0M=")</f>
        <v>#REF!</v>
      </c>
      <c r="BQ41" t="e">
        <f>AND(#REF!,"AAAAAC8+x0Q=")</f>
        <v>#REF!</v>
      </c>
      <c r="BR41" t="e">
        <f>AND(#REF!,"AAAAAC8+x0U=")</f>
        <v>#REF!</v>
      </c>
      <c r="BS41" t="e">
        <f>AND(#REF!,"AAAAAC8+x0Y=")</f>
        <v>#REF!</v>
      </c>
      <c r="BT41" t="e">
        <f>AND(#REF!,"AAAAAC8+x0c=")</f>
        <v>#REF!</v>
      </c>
      <c r="BU41" t="e">
        <f>IF(#REF!,"AAAAAC8+x0g=",0)</f>
        <v>#REF!</v>
      </c>
      <c r="BV41" t="e">
        <f>AND(#REF!,"AAAAAC8+x0k=")</f>
        <v>#REF!</v>
      </c>
      <c r="BW41" t="e">
        <f>AND(#REF!,"AAAAAC8+x0o=")</f>
        <v>#REF!</v>
      </c>
      <c r="BX41" t="e">
        <f>AND(#REF!,"AAAAAC8+x0s=")</f>
        <v>#REF!</v>
      </c>
      <c r="BY41" t="e">
        <f>AND(#REF!,"AAAAAC8+x0w=")</f>
        <v>#REF!</v>
      </c>
      <c r="BZ41" t="e">
        <f>AND(#REF!,"AAAAAC8+x00=")</f>
        <v>#REF!</v>
      </c>
      <c r="CA41" t="e">
        <f>AND(#REF!,"AAAAAC8+x04=")</f>
        <v>#REF!</v>
      </c>
      <c r="CB41" t="e">
        <f>AND(#REF!,"AAAAAC8+x08=")</f>
        <v>#REF!</v>
      </c>
      <c r="CC41" t="e">
        <f>AND(#REF!,"AAAAAC8+x1A=")</f>
        <v>#REF!</v>
      </c>
      <c r="CD41" t="e">
        <f>AND(#REF!,"AAAAAC8+x1E=")</f>
        <v>#REF!</v>
      </c>
      <c r="CE41" t="e">
        <f>AND(#REF!,"AAAAAC8+x1I=")</f>
        <v>#REF!</v>
      </c>
      <c r="CF41" t="e">
        <f>AND(#REF!,"AAAAAC8+x1M=")</f>
        <v>#REF!</v>
      </c>
      <c r="CG41" t="e">
        <f>AND(#REF!,"AAAAAC8+x1Q=")</f>
        <v>#REF!</v>
      </c>
      <c r="CH41" t="e">
        <f>AND(#REF!,"AAAAAC8+x1U=")</f>
        <v>#REF!</v>
      </c>
      <c r="CI41" t="e">
        <f>AND(#REF!,"AAAAAC8+x1Y=")</f>
        <v>#REF!</v>
      </c>
      <c r="CJ41" t="e">
        <f>AND(#REF!,"AAAAAC8+x1c=")</f>
        <v>#REF!</v>
      </c>
      <c r="CK41" t="e">
        <f>AND(#REF!,"AAAAAC8+x1g=")</f>
        <v>#REF!</v>
      </c>
      <c r="CL41" t="e">
        <f>AND(#REF!,"AAAAAC8+x1k=")</f>
        <v>#REF!</v>
      </c>
      <c r="CM41" t="e">
        <f>AND(#REF!,"AAAAAC8+x1o=")</f>
        <v>#REF!</v>
      </c>
      <c r="CN41" t="e">
        <f>AND(#REF!,"AAAAAC8+x1s=")</f>
        <v>#REF!</v>
      </c>
      <c r="CO41" t="e">
        <f>AND(#REF!,"AAAAAC8+x1w=")</f>
        <v>#REF!</v>
      </c>
      <c r="CP41" t="e">
        <f>IF(#REF!,"AAAAAC8+x10=",0)</f>
        <v>#REF!</v>
      </c>
      <c r="CQ41" t="e">
        <f>AND(#REF!,"AAAAAC8+x14=")</f>
        <v>#REF!</v>
      </c>
      <c r="CR41" t="e">
        <f>AND(#REF!,"AAAAAC8+x18=")</f>
        <v>#REF!</v>
      </c>
      <c r="CS41" t="e">
        <f>AND(#REF!,"AAAAAC8+x2A=")</f>
        <v>#REF!</v>
      </c>
      <c r="CT41" t="e">
        <f>AND(#REF!,"AAAAAC8+x2E=")</f>
        <v>#REF!</v>
      </c>
      <c r="CU41" t="e">
        <f>AND(#REF!,"AAAAAC8+x2I=")</f>
        <v>#REF!</v>
      </c>
      <c r="CV41" t="e">
        <f>AND(#REF!,"AAAAAC8+x2M=")</f>
        <v>#REF!</v>
      </c>
      <c r="CW41" t="e">
        <f>AND(#REF!,"AAAAAC8+x2Q=")</f>
        <v>#REF!</v>
      </c>
      <c r="CX41" t="e">
        <f>AND(#REF!,"AAAAAC8+x2U=")</f>
        <v>#REF!</v>
      </c>
      <c r="CY41" t="e">
        <f>AND(#REF!,"AAAAAC8+x2Y=")</f>
        <v>#REF!</v>
      </c>
      <c r="CZ41" t="e">
        <f>AND(#REF!,"AAAAAC8+x2c=")</f>
        <v>#REF!</v>
      </c>
      <c r="DA41" t="e">
        <f>AND(#REF!,"AAAAAC8+x2g=")</f>
        <v>#REF!</v>
      </c>
      <c r="DB41" t="e">
        <f>AND(#REF!,"AAAAAC8+x2k=")</f>
        <v>#REF!</v>
      </c>
      <c r="DC41" t="e">
        <f>AND(#REF!,"AAAAAC8+x2o=")</f>
        <v>#REF!</v>
      </c>
      <c r="DD41" t="e">
        <f>AND(#REF!,"AAAAAC8+x2s=")</f>
        <v>#REF!</v>
      </c>
      <c r="DE41" t="e">
        <f>AND(#REF!,"AAAAAC8+x2w=")</f>
        <v>#REF!</v>
      </c>
      <c r="DF41" t="e">
        <f>AND(#REF!,"AAAAAC8+x20=")</f>
        <v>#REF!</v>
      </c>
      <c r="DG41" t="e">
        <f>AND(#REF!,"AAAAAC8+x24=")</f>
        <v>#REF!</v>
      </c>
      <c r="DH41" t="e">
        <f>AND(#REF!,"AAAAAC8+x28=")</f>
        <v>#REF!</v>
      </c>
      <c r="DI41" t="e">
        <f>AND(#REF!,"AAAAAC8+x3A=")</f>
        <v>#REF!</v>
      </c>
      <c r="DJ41" t="e">
        <f>AND(#REF!,"AAAAAC8+x3E=")</f>
        <v>#REF!</v>
      </c>
      <c r="DK41" t="e">
        <f>IF(#REF!,"AAAAAC8+x3I=",0)</f>
        <v>#REF!</v>
      </c>
      <c r="DL41" t="e">
        <f>AND(#REF!,"AAAAAC8+x3M=")</f>
        <v>#REF!</v>
      </c>
      <c r="DM41" t="e">
        <f>AND(#REF!,"AAAAAC8+x3Q=")</f>
        <v>#REF!</v>
      </c>
      <c r="DN41" t="e">
        <f>AND(#REF!,"AAAAAC8+x3U=")</f>
        <v>#REF!</v>
      </c>
      <c r="DO41" t="e">
        <f>AND(#REF!,"AAAAAC8+x3Y=")</f>
        <v>#REF!</v>
      </c>
      <c r="DP41" t="e">
        <f>AND(#REF!,"AAAAAC8+x3c=")</f>
        <v>#REF!</v>
      </c>
      <c r="DQ41" t="e">
        <f>AND(#REF!,"AAAAAC8+x3g=")</f>
        <v>#REF!</v>
      </c>
      <c r="DR41" t="e">
        <f>AND(#REF!,"AAAAAC8+x3k=")</f>
        <v>#REF!</v>
      </c>
      <c r="DS41" t="e">
        <f>AND(#REF!,"AAAAAC8+x3o=")</f>
        <v>#REF!</v>
      </c>
      <c r="DT41" t="e">
        <f>AND(#REF!,"AAAAAC8+x3s=")</f>
        <v>#REF!</v>
      </c>
      <c r="DU41" t="e">
        <f>AND(#REF!,"AAAAAC8+x3w=")</f>
        <v>#REF!</v>
      </c>
      <c r="DV41" t="e">
        <f>AND(#REF!,"AAAAAC8+x30=")</f>
        <v>#REF!</v>
      </c>
      <c r="DW41" t="e">
        <f>AND(#REF!,"AAAAAC8+x34=")</f>
        <v>#REF!</v>
      </c>
      <c r="DX41" t="e">
        <f>AND(#REF!,"AAAAAC8+x38=")</f>
        <v>#REF!</v>
      </c>
      <c r="DY41" t="e">
        <f>AND(#REF!,"AAAAAC8+x4A=")</f>
        <v>#REF!</v>
      </c>
      <c r="DZ41" t="e">
        <f>AND(#REF!,"AAAAAC8+x4E=")</f>
        <v>#REF!</v>
      </c>
      <c r="EA41" t="e">
        <f>AND(#REF!,"AAAAAC8+x4I=")</f>
        <v>#REF!</v>
      </c>
      <c r="EB41" t="e">
        <f>AND(#REF!,"AAAAAC8+x4M=")</f>
        <v>#REF!</v>
      </c>
      <c r="EC41" t="e">
        <f>AND(#REF!,"AAAAAC8+x4Q=")</f>
        <v>#REF!</v>
      </c>
      <c r="ED41" t="e">
        <f>AND(#REF!,"AAAAAC8+x4U=")</f>
        <v>#REF!</v>
      </c>
      <c r="EE41" t="e">
        <f>AND(#REF!,"AAAAAC8+x4Y=")</f>
        <v>#REF!</v>
      </c>
      <c r="EF41" t="e">
        <f>IF(#REF!,"AAAAAC8+x4c=",0)</f>
        <v>#REF!</v>
      </c>
      <c r="EG41" t="e">
        <f>AND(#REF!,"AAAAAC8+x4g=")</f>
        <v>#REF!</v>
      </c>
      <c r="EH41" t="e">
        <f>AND(#REF!,"AAAAAC8+x4k=")</f>
        <v>#REF!</v>
      </c>
      <c r="EI41" t="e">
        <f>AND(#REF!,"AAAAAC8+x4o=")</f>
        <v>#REF!</v>
      </c>
      <c r="EJ41" t="e">
        <f>AND(#REF!,"AAAAAC8+x4s=")</f>
        <v>#REF!</v>
      </c>
      <c r="EK41" t="e">
        <f>AND(#REF!,"AAAAAC8+x4w=")</f>
        <v>#REF!</v>
      </c>
      <c r="EL41" t="e">
        <f>AND(#REF!,"AAAAAC8+x40=")</f>
        <v>#REF!</v>
      </c>
      <c r="EM41" t="e">
        <f>AND(#REF!,"AAAAAC8+x44=")</f>
        <v>#REF!</v>
      </c>
      <c r="EN41" t="e">
        <f>AND(#REF!,"AAAAAC8+x48=")</f>
        <v>#REF!</v>
      </c>
      <c r="EO41" t="e">
        <f>AND(#REF!,"AAAAAC8+x5A=")</f>
        <v>#REF!</v>
      </c>
      <c r="EP41" t="e">
        <f>AND(#REF!,"AAAAAC8+x5E=")</f>
        <v>#REF!</v>
      </c>
      <c r="EQ41" t="e">
        <f>AND(#REF!,"AAAAAC8+x5I=")</f>
        <v>#REF!</v>
      </c>
      <c r="ER41" t="e">
        <f>AND(#REF!,"AAAAAC8+x5M=")</f>
        <v>#REF!</v>
      </c>
      <c r="ES41" t="e">
        <f>AND(#REF!,"AAAAAC8+x5Q=")</f>
        <v>#REF!</v>
      </c>
      <c r="ET41" t="e">
        <f>AND(#REF!,"AAAAAC8+x5U=")</f>
        <v>#REF!</v>
      </c>
      <c r="EU41" t="e">
        <f>AND(#REF!,"AAAAAC8+x5Y=")</f>
        <v>#REF!</v>
      </c>
      <c r="EV41" t="e">
        <f>AND(#REF!,"AAAAAC8+x5c=")</f>
        <v>#REF!</v>
      </c>
      <c r="EW41" t="e">
        <f>AND(#REF!,"AAAAAC8+x5g=")</f>
        <v>#REF!</v>
      </c>
      <c r="EX41" t="e">
        <f>AND(#REF!,"AAAAAC8+x5k=")</f>
        <v>#REF!</v>
      </c>
      <c r="EY41" t="e">
        <f>AND(#REF!,"AAAAAC8+x5o=")</f>
        <v>#REF!</v>
      </c>
      <c r="EZ41" t="e">
        <f>AND(#REF!,"AAAAAC8+x5s=")</f>
        <v>#REF!</v>
      </c>
      <c r="FA41" t="e">
        <f>IF(#REF!,"AAAAAC8+x5w=",0)</f>
        <v>#REF!</v>
      </c>
      <c r="FB41" t="e">
        <f>AND(#REF!,"AAAAAC8+x50=")</f>
        <v>#REF!</v>
      </c>
      <c r="FC41" t="e">
        <f>AND(#REF!,"AAAAAC8+x54=")</f>
        <v>#REF!</v>
      </c>
      <c r="FD41" t="e">
        <f>AND(#REF!,"AAAAAC8+x58=")</f>
        <v>#REF!</v>
      </c>
      <c r="FE41" t="e">
        <f>AND(#REF!,"AAAAAC8+x6A=")</f>
        <v>#REF!</v>
      </c>
      <c r="FF41" t="e">
        <f>AND(#REF!,"AAAAAC8+x6E=")</f>
        <v>#REF!</v>
      </c>
      <c r="FG41" t="e">
        <f>AND(#REF!,"AAAAAC8+x6I=")</f>
        <v>#REF!</v>
      </c>
      <c r="FH41" t="e">
        <f>AND(#REF!,"AAAAAC8+x6M=")</f>
        <v>#REF!</v>
      </c>
      <c r="FI41" t="e">
        <f>AND(#REF!,"AAAAAC8+x6Q=")</f>
        <v>#REF!</v>
      </c>
      <c r="FJ41" t="e">
        <f>AND(#REF!,"AAAAAC8+x6U=")</f>
        <v>#REF!</v>
      </c>
      <c r="FK41" t="e">
        <f>AND(#REF!,"AAAAAC8+x6Y=")</f>
        <v>#REF!</v>
      </c>
      <c r="FL41" t="e">
        <f>AND(#REF!,"AAAAAC8+x6c=")</f>
        <v>#REF!</v>
      </c>
      <c r="FM41" t="e">
        <f>AND(#REF!,"AAAAAC8+x6g=")</f>
        <v>#REF!</v>
      </c>
      <c r="FN41" t="e">
        <f>AND(#REF!,"AAAAAC8+x6k=")</f>
        <v>#REF!</v>
      </c>
      <c r="FO41" t="e">
        <f>AND(#REF!,"AAAAAC8+x6o=")</f>
        <v>#REF!</v>
      </c>
      <c r="FP41" t="e">
        <f>AND(#REF!,"AAAAAC8+x6s=")</f>
        <v>#REF!</v>
      </c>
      <c r="FQ41" t="e">
        <f>AND(#REF!,"AAAAAC8+x6w=")</f>
        <v>#REF!</v>
      </c>
      <c r="FR41" t="e">
        <f>AND(#REF!,"AAAAAC8+x60=")</f>
        <v>#REF!</v>
      </c>
      <c r="FS41" t="e">
        <f>AND(#REF!,"AAAAAC8+x64=")</f>
        <v>#REF!</v>
      </c>
      <c r="FT41" t="e">
        <f>AND(#REF!,"AAAAAC8+x68=")</f>
        <v>#REF!</v>
      </c>
      <c r="FU41" t="e">
        <f>AND(#REF!,"AAAAAC8+x7A=")</f>
        <v>#REF!</v>
      </c>
      <c r="FV41" t="e">
        <f>IF(#REF!,"AAAAAC8+x7E=",0)</f>
        <v>#REF!</v>
      </c>
      <c r="FW41" t="e">
        <f>AND(#REF!,"AAAAAC8+x7I=")</f>
        <v>#REF!</v>
      </c>
      <c r="FX41" t="e">
        <f>AND(#REF!,"AAAAAC8+x7M=")</f>
        <v>#REF!</v>
      </c>
      <c r="FY41" t="e">
        <f>AND(#REF!,"AAAAAC8+x7Q=")</f>
        <v>#REF!</v>
      </c>
      <c r="FZ41" t="e">
        <f>AND(#REF!,"AAAAAC8+x7U=")</f>
        <v>#REF!</v>
      </c>
      <c r="GA41" t="e">
        <f>AND(#REF!,"AAAAAC8+x7Y=")</f>
        <v>#REF!</v>
      </c>
      <c r="GB41" t="e">
        <f>AND(#REF!,"AAAAAC8+x7c=")</f>
        <v>#REF!</v>
      </c>
      <c r="GC41" t="e">
        <f>AND(#REF!,"AAAAAC8+x7g=")</f>
        <v>#REF!</v>
      </c>
      <c r="GD41" t="e">
        <f>AND(#REF!,"AAAAAC8+x7k=")</f>
        <v>#REF!</v>
      </c>
      <c r="GE41" t="e">
        <f>AND(#REF!,"AAAAAC8+x7o=")</f>
        <v>#REF!</v>
      </c>
      <c r="GF41" t="e">
        <f>AND(#REF!,"AAAAAC8+x7s=")</f>
        <v>#REF!</v>
      </c>
      <c r="GG41" t="e">
        <f>AND(#REF!,"AAAAAC8+x7w=")</f>
        <v>#REF!</v>
      </c>
      <c r="GH41" t="e">
        <f>AND(#REF!,"AAAAAC8+x70=")</f>
        <v>#REF!</v>
      </c>
      <c r="GI41" t="e">
        <f>AND(#REF!,"AAAAAC8+x74=")</f>
        <v>#REF!</v>
      </c>
      <c r="GJ41" t="e">
        <f>AND(#REF!,"AAAAAC8+x78=")</f>
        <v>#REF!</v>
      </c>
      <c r="GK41" t="e">
        <f>AND(#REF!,"AAAAAC8+x8A=")</f>
        <v>#REF!</v>
      </c>
      <c r="GL41" t="e">
        <f>AND(#REF!,"AAAAAC8+x8E=")</f>
        <v>#REF!</v>
      </c>
      <c r="GM41" t="e">
        <f>AND(#REF!,"AAAAAC8+x8I=")</f>
        <v>#REF!</v>
      </c>
      <c r="GN41" t="e">
        <f>AND(#REF!,"AAAAAC8+x8M=")</f>
        <v>#REF!</v>
      </c>
      <c r="GO41" t="e">
        <f>AND(#REF!,"AAAAAC8+x8Q=")</f>
        <v>#REF!</v>
      </c>
      <c r="GP41" t="e">
        <f>AND(#REF!,"AAAAAC8+x8U=")</f>
        <v>#REF!</v>
      </c>
      <c r="GQ41" t="e">
        <f>IF(#REF!,"AAAAAC8+x8Y=",0)</f>
        <v>#REF!</v>
      </c>
      <c r="GR41" t="e">
        <f>AND(#REF!,"AAAAAC8+x8c=")</f>
        <v>#REF!</v>
      </c>
      <c r="GS41" t="e">
        <f>AND(#REF!,"AAAAAC8+x8g=")</f>
        <v>#REF!</v>
      </c>
      <c r="GT41" t="e">
        <f>AND(#REF!,"AAAAAC8+x8k=")</f>
        <v>#REF!</v>
      </c>
      <c r="GU41" t="e">
        <f>AND(#REF!,"AAAAAC8+x8o=")</f>
        <v>#REF!</v>
      </c>
      <c r="GV41" t="e">
        <f>AND(#REF!,"AAAAAC8+x8s=")</f>
        <v>#REF!</v>
      </c>
      <c r="GW41" t="e">
        <f>AND(#REF!,"AAAAAC8+x8w=")</f>
        <v>#REF!</v>
      </c>
      <c r="GX41" t="e">
        <f>AND(#REF!,"AAAAAC8+x80=")</f>
        <v>#REF!</v>
      </c>
      <c r="GY41" t="e">
        <f>AND(#REF!,"AAAAAC8+x84=")</f>
        <v>#REF!</v>
      </c>
      <c r="GZ41" t="e">
        <f>AND(#REF!,"AAAAAC8+x88=")</f>
        <v>#REF!</v>
      </c>
      <c r="HA41" t="e">
        <f>AND(#REF!,"AAAAAC8+x9A=")</f>
        <v>#REF!</v>
      </c>
      <c r="HB41" t="e">
        <f>AND(#REF!,"AAAAAC8+x9E=")</f>
        <v>#REF!</v>
      </c>
      <c r="HC41" t="e">
        <f>AND(#REF!,"AAAAAC8+x9I=")</f>
        <v>#REF!</v>
      </c>
      <c r="HD41" t="e">
        <f>AND(#REF!,"AAAAAC8+x9M=")</f>
        <v>#REF!</v>
      </c>
      <c r="HE41" t="e">
        <f>AND(#REF!,"AAAAAC8+x9Q=")</f>
        <v>#REF!</v>
      </c>
      <c r="HF41" t="e">
        <f>AND(#REF!,"AAAAAC8+x9U=")</f>
        <v>#REF!</v>
      </c>
      <c r="HG41" t="e">
        <f>AND(#REF!,"AAAAAC8+x9Y=")</f>
        <v>#REF!</v>
      </c>
      <c r="HH41" t="e">
        <f>AND(#REF!,"AAAAAC8+x9c=")</f>
        <v>#REF!</v>
      </c>
      <c r="HI41" t="e">
        <f>AND(#REF!,"AAAAAC8+x9g=")</f>
        <v>#REF!</v>
      </c>
      <c r="HJ41" t="e">
        <f>AND(#REF!,"AAAAAC8+x9k=")</f>
        <v>#REF!</v>
      </c>
      <c r="HK41" t="e">
        <f>AND(#REF!,"AAAAAC8+x9o=")</f>
        <v>#REF!</v>
      </c>
      <c r="HL41" t="e">
        <f>IF(#REF!,"AAAAAC8+x9s=",0)</f>
        <v>#REF!</v>
      </c>
      <c r="HM41" t="e">
        <f>AND(#REF!,"AAAAAC8+x9w=")</f>
        <v>#REF!</v>
      </c>
      <c r="HN41" t="e">
        <f>AND(#REF!,"AAAAAC8+x90=")</f>
        <v>#REF!</v>
      </c>
      <c r="HO41" t="e">
        <f>AND(#REF!,"AAAAAC8+x94=")</f>
        <v>#REF!</v>
      </c>
      <c r="HP41" t="e">
        <f>AND(#REF!,"AAAAAC8+x98=")</f>
        <v>#REF!</v>
      </c>
      <c r="HQ41" t="e">
        <f>AND(#REF!,"AAAAAC8+x+A=")</f>
        <v>#REF!</v>
      </c>
      <c r="HR41" t="e">
        <f>AND(#REF!,"AAAAAC8+x+E=")</f>
        <v>#REF!</v>
      </c>
      <c r="HS41" t="e">
        <f>AND(#REF!,"AAAAAC8+x+I=")</f>
        <v>#REF!</v>
      </c>
      <c r="HT41" t="e">
        <f>AND(#REF!,"AAAAAC8+x+M=")</f>
        <v>#REF!</v>
      </c>
      <c r="HU41" t="e">
        <f>AND(#REF!,"AAAAAC8+x+Q=")</f>
        <v>#REF!</v>
      </c>
      <c r="HV41" t="e">
        <f>AND(#REF!,"AAAAAC8+x+U=")</f>
        <v>#REF!</v>
      </c>
      <c r="HW41" t="e">
        <f>AND(#REF!,"AAAAAC8+x+Y=")</f>
        <v>#REF!</v>
      </c>
      <c r="HX41" t="e">
        <f>AND(#REF!,"AAAAAC8+x+c=")</f>
        <v>#REF!</v>
      </c>
      <c r="HY41" t="e">
        <f>AND(#REF!,"AAAAAC8+x+g=")</f>
        <v>#REF!</v>
      </c>
      <c r="HZ41" t="e">
        <f>AND(#REF!,"AAAAAC8+x+k=")</f>
        <v>#REF!</v>
      </c>
      <c r="IA41" t="e">
        <f>AND(#REF!,"AAAAAC8+x+o=")</f>
        <v>#REF!</v>
      </c>
      <c r="IB41" t="e">
        <f>AND(#REF!,"AAAAAC8+x+s=")</f>
        <v>#REF!</v>
      </c>
      <c r="IC41" t="e">
        <f>AND(#REF!,"AAAAAC8+x+w=")</f>
        <v>#REF!</v>
      </c>
      <c r="ID41" t="e">
        <f>AND(#REF!,"AAAAAC8+x+0=")</f>
        <v>#REF!</v>
      </c>
      <c r="IE41" t="e">
        <f>AND(#REF!,"AAAAAC8+x+4=")</f>
        <v>#REF!</v>
      </c>
      <c r="IF41" t="e">
        <f>AND(#REF!,"AAAAAC8+x+8=")</f>
        <v>#REF!</v>
      </c>
      <c r="IG41" t="e">
        <f>IF(#REF!,"AAAAAC8+x/A=",0)</f>
        <v>#REF!</v>
      </c>
      <c r="IH41" t="e">
        <f>AND(#REF!,"AAAAAC8+x/E=")</f>
        <v>#REF!</v>
      </c>
      <c r="II41" t="e">
        <f>AND(#REF!,"AAAAAC8+x/I=")</f>
        <v>#REF!</v>
      </c>
      <c r="IJ41" t="e">
        <f>AND(#REF!,"AAAAAC8+x/M=")</f>
        <v>#REF!</v>
      </c>
      <c r="IK41" t="e">
        <f>AND(#REF!,"AAAAAC8+x/Q=")</f>
        <v>#REF!</v>
      </c>
      <c r="IL41" t="e">
        <f>AND(#REF!,"AAAAAC8+x/U=")</f>
        <v>#REF!</v>
      </c>
      <c r="IM41" t="e">
        <f>AND(#REF!,"AAAAAC8+x/Y=")</f>
        <v>#REF!</v>
      </c>
      <c r="IN41" t="e">
        <f>AND(#REF!,"AAAAAC8+x/c=")</f>
        <v>#REF!</v>
      </c>
      <c r="IO41" t="e">
        <f>AND(#REF!,"AAAAAC8+x/g=")</f>
        <v>#REF!</v>
      </c>
      <c r="IP41" t="e">
        <f>AND(#REF!,"AAAAAC8+x/k=")</f>
        <v>#REF!</v>
      </c>
      <c r="IQ41" t="e">
        <f>AND(#REF!,"AAAAAC8+x/o=")</f>
        <v>#REF!</v>
      </c>
      <c r="IR41" t="e">
        <f>AND(#REF!,"AAAAAC8+x/s=")</f>
        <v>#REF!</v>
      </c>
      <c r="IS41" t="e">
        <f>AND(#REF!,"AAAAAC8+x/w=")</f>
        <v>#REF!</v>
      </c>
      <c r="IT41" t="e">
        <f>AND(#REF!,"AAAAAC8+x/0=")</f>
        <v>#REF!</v>
      </c>
      <c r="IU41" t="e">
        <f>AND(#REF!,"AAAAAC8+x/4=")</f>
        <v>#REF!</v>
      </c>
      <c r="IV41" t="e">
        <f>AND(#REF!,"AAAAAC8+x/8=")</f>
        <v>#REF!</v>
      </c>
    </row>
    <row r="42" spans="1:256" x14ac:dyDescent="0.25">
      <c r="A42" t="e">
        <f>AND(#REF!,"AAAAAGdvfAA=")</f>
        <v>#REF!</v>
      </c>
      <c r="B42" t="e">
        <f>AND(#REF!,"AAAAAGdvfAE=")</f>
        <v>#REF!</v>
      </c>
      <c r="C42" t="e">
        <f>AND(#REF!,"AAAAAGdvfAI=")</f>
        <v>#REF!</v>
      </c>
      <c r="D42" t="e">
        <f>AND(#REF!,"AAAAAGdvfAM=")</f>
        <v>#REF!</v>
      </c>
      <c r="E42" t="e">
        <f>AND(#REF!,"AAAAAGdvfAQ=")</f>
        <v>#REF!</v>
      </c>
      <c r="F42" t="e">
        <f>IF(#REF!,"AAAAAGdvfAU=",0)</f>
        <v>#REF!</v>
      </c>
      <c r="G42" t="e">
        <f>AND(#REF!,"AAAAAGdvfAY=")</f>
        <v>#REF!</v>
      </c>
      <c r="H42" t="e">
        <f>AND(#REF!,"AAAAAGdvfAc=")</f>
        <v>#REF!</v>
      </c>
      <c r="I42" t="e">
        <f>AND(#REF!,"AAAAAGdvfAg=")</f>
        <v>#REF!</v>
      </c>
      <c r="J42" t="e">
        <f>AND(#REF!,"AAAAAGdvfAk=")</f>
        <v>#REF!</v>
      </c>
      <c r="K42" t="e">
        <f>AND(#REF!,"AAAAAGdvfAo=")</f>
        <v>#REF!</v>
      </c>
      <c r="L42" t="e">
        <f>AND(#REF!,"AAAAAGdvfAs=")</f>
        <v>#REF!</v>
      </c>
      <c r="M42" t="e">
        <f>AND(#REF!,"AAAAAGdvfAw=")</f>
        <v>#REF!</v>
      </c>
      <c r="N42" t="e">
        <f>AND(#REF!,"AAAAAGdvfA0=")</f>
        <v>#REF!</v>
      </c>
      <c r="O42" t="e">
        <f>AND(#REF!,"AAAAAGdvfA4=")</f>
        <v>#REF!</v>
      </c>
      <c r="P42" t="e">
        <f>AND(#REF!,"AAAAAGdvfA8=")</f>
        <v>#REF!</v>
      </c>
      <c r="Q42" t="e">
        <f>AND(#REF!,"AAAAAGdvfBA=")</f>
        <v>#REF!</v>
      </c>
      <c r="R42" t="e">
        <f>AND(#REF!,"AAAAAGdvfBE=")</f>
        <v>#REF!</v>
      </c>
      <c r="S42" t="e">
        <f>AND(#REF!,"AAAAAGdvfBI=")</f>
        <v>#REF!</v>
      </c>
      <c r="T42" t="e">
        <f>AND(#REF!,"AAAAAGdvfBM=")</f>
        <v>#REF!</v>
      </c>
      <c r="U42" t="e">
        <f>AND(#REF!,"AAAAAGdvfBQ=")</f>
        <v>#REF!</v>
      </c>
      <c r="V42" t="e">
        <f>AND(#REF!,"AAAAAGdvfBU=")</f>
        <v>#REF!</v>
      </c>
      <c r="W42" t="e">
        <f>AND(#REF!,"AAAAAGdvfBY=")</f>
        <v>#REF!</v>
      </c>
      <c r="X42" t="e">
        <f>AND(#REF!,"AAAAAGdvfBc=")</f>
        <v>#REF!</v>
      </c>
      <c r="Y42" t="e">
        <f>AND(#REF!,"AAAAAGdvfBg=")</f>
        <v>#REF!</v>
      </c>
      <c r="Z42" t="e">
        <f>AND(#REF!,"AAAAAGdvfBk=")</f>
        <v>#REF!</v>
      </c>
      <c r="AA42" t="e">
        <f>IF(#REF!,"AAAAAGdvfBo=",0)</f>
        <v>#REF!</v>
      </c>
      <c r="AB42" t="e">
        <f>AND(#REF!,"AAAAAGdvfBs=")</f>
        <v>#REF!</v>
      </c>
      <c r="AC42" t="e">
        <f>AND(#REF!,"AAAAAGdvfBw=")</f>
        <v>#REF!</v>
      </c>
      <c r="AD42" t="e">
        <f>AND(#REF!,"AAAAAGdvfB0=")</f>
        <v>#REF!</v>
      </c>
      <c r="AE42" t="e">
        <f>AND(#REF!,"AAAAAGdvfB4=")</f>
        <v>#REF!</v>
      </c>
      <c r="AF42" t="e">
        <f>AND(#REF!,"AAAAAGdvfB8=")</f>
        <v>#REF!</v>
      </c>
      <c r="AG42" t="e">
        <f>AND(#REF!,"AAAAAGdvfCA=")</f>
        <v>#REF!</v>
      </c>
      <c r="AH42" t="e">
        <f>AND(#REF!,"AAAAAGdvfCE=")</f>
        <v>#REF!</v>
      </c>
      <c r="AI42" t="e">
        <f>AND(#REF!,"AAAAAGdvfCI=")</f>
        <v>#REF!</v>
      </c>
      <c r="AJ42" t="e">
        <f>AND(#REF!,"AAAAAGdvfCM=")</f>
        <v>#REF!</v>
      </c>
      <c r="AK42" t="e">
        <f>AND(#REF!,"AAAAAGdvfCQ=")</f>
        <v>#REF!</v>
      </c>
      <c r="AL42" t="e">
        <f>AND(#REF!,"AAAAAGdvfCU=")</f>
        <v>#REF!</v>
      </c>
      <c r="AM42" t="e">
        <f>AND(#REF!,"AAAAAGdvfCY=")</f>
        <v>#REF!</v>
      </c>
      <c r="AN42" t="e">
        <f>AND(#REF!,"AAAAAGdvfCc=")</f>
        <v>#REF!</v>
      </c>
      <c r="AO42" t="e">
        <f>AND(#REF!,"AAAAAGdvfCg=")</f>
        <v>#REF!</v>
      </c>
      <c r="AP42" t="e">
        <f>AND(#REF!,"AAAAAGdvfCk=")</f>
        <v>#REF!</v>
      </c>
      <c r="AQ42" t="e">
        <f>AND(#REF!,"AAAAAGdvfCo=")</f>
        <v>#REF!</v>
      </c>
      <c r="AR42" t="e">
        <f>AND(#REF!,"AAAAAGdvfCs=")</f>
        <v>#REF!</v>
      </c>
      <c r="AS42" t="e">
        <f>AND(#REF!,"AAAAAGdvfCw=")</f>
        <v>#REF!</v>
      </c>
      <c r="AT42" t="e">
        <f>AND(#REF!,"AAAAAGdvfC0=")</f>
        <v>#REF!</v>
      </c>
      <c r="AU42" t="e">
        <f>AND(#REF!,"AAAAAGdvfC4=")</f>
        <v>#REF!</v>
      </c>
      <c r="AV42" t="e">
        <f>IF(#REF!,"AAAAAGdvfC8=",0)</f>
        <v>#REF!</v>
      </c>
      <c r="AW42" t="e">
        <f>AND(#REF!,"AAAAAGdvfDA=")</f>
        <v>#REF!</v>
      </c>
      <c r="AX42" t="e">
        <f>AND(#REF!,"AAAAAGdvfDE=")</f>
        <v>#REF!</v>
      </c>
      <c r="AY42" t="e">
        <f>AND(#REF!,"AAAAAGdvfDI=")</f>
        <v>#REF!</v>
      </c>
      <c r="AZ42" t="e">
        <f>AND(#REF!,"AAAAAGdvfDM=")</f>
        <v>#REF!</v>
      </c>
      <c r="BA42" t="e">
        <f>AND(#REF!,"AAAAAGdvfDQ=")</f>
        <v>#REF!</v>
      </c>
      <c r="BB42" t="e">
        <f>AND(#REF!,"AAAAAGdvfDU=")</f>
        <v>#REF!</v>
      </c>
      <c r="BC42" t="e">
        <f>AND(#REF!,"AAAAAGdvfDY=")</f>
        <v>#REF!</v>
      </c>
      <c r="BD42" t="e">
        <f>AND(#REF!,"AAAAAGdvfDc=")</f>
        <v>#REF!</v>
      </c>
      <c r="BE42" t="e">
        <f>AND(#REF!,"AAAAAGdvfDg=")</f>
        <v>#REF!</v>
      </c>
      <c r="BF42" t="e">
        <f>AND(#REF!,"AAAAAGdvfDk=")</f>
        <v>#REF!</v>
      </c>
      <c r="BG42" t="e">
        <f>AND(#REF!,"AAAAAGdvfDo=")</f>
        <v>#REF!</v>
      </c>
      <c r="BH42" t="e">
        <f>AND(#REF!,"AAAAAGdvfDs=")</f>
        <v>#REF!</v>
      </c>
      <c r="BI42" t="e">
        <f>AND(#REF!,"AAAAAGdvfDw=")</f>
        <v>#REF!</v>
      </c>
      <c r="BJ42" t="e">
        <f>AND(#REF!,"AAAAAGdvfD0=")</f>
        <v>#REF!</v>
      </c>
      <c r="BK42" t="e">
        <f>AND(#REF!,"AAAAAGdvfD4=")</f>
        <v>#REF!</v>
      </c>
      <c r="BL42" t="e">
        <f>AND(#REF!,"AAAAAGdvfD8=")</f>
        <v>#REF!</v>
      </c>
      <c r="BM42" t="e">
        <f>AND(#REF!,"AAAAAGdvfEA=")</f>
        <v>#REF!</v>
      </c>
      <c r="BN42" t="e">
        <f>AND(#REF!,"AAAAAGdvfEE=")</f>
        <v>#REF!</v>
      </c>
      <c r="BO42" t="e">
        <f>AND(#REF!,"AAAAAGdvfEI=")</f>
        <v>#REF!</v>
      </c>
      <c r="BP42" t="e">
        <f>AND(#REF!,"AAAAAGdvfEM=")</f>
        <v>#REF!</v>
      </c>
      <c r="BQ42" t="e">
        <f>IF(#REF!,"AAAAAGdvfEQ=",0)</f>
        <v>#REF!</v>
      </c>
      <c r="BR42" t="e">
        <f>AND(#REF!,"AAAAAGdvfEU=")</f>
        <v>#REF!</v>
      </c>
      <c r="BS42" t="e">
        <f>AND(#REF!,"AAAAAGdvfEY=")</f>
        <v>#REF!</v>
      </c>
      <c r="BT42" t="e">
        <f>AND(#REF!,"AAAAAGdvfEc=")</f>
        <v>#REF!</v>
      </c>
      <c r="BU42" t="e">
        <f>AND(#REF!,"AAAAAGdvfEg=")</f>
        <v>#REF!</v>
      </c>
      <c r="BV42" t="e">
        <f>AND(#REF!,"AAAAAGdvfEk=")</f>
        <v>#REF!</v>
      </c>
      <c r="BW42" t="e">
        <f>AND(#REF!,"AAAAAGdvfEo=")</f>
        <v>#REF!</v>
      </c>
      <c r="BX42" t="e">
        <f>AND(#REF!,"AAAAAGdvfEs=")</f>
        <v>#REF!</v>
      </c>
      <c r="BY42" t="e">
        <f>AND(#REF!,"AAAAAGdvfEw=")</f>
        <v>#REF!</v>
      </c>
      <c r="BZ42" t="e">
        <f>AND(#REF!,"AAAAAGdvfE0=")</f>
        <v>#REF!</v>
      </c>
      <c r="CA42" t="e">
        <f>AND(#REF!,"AAAAAGdvfE4=")</f>
        <v>#REF!</v>
      </c>
      <c r="CB42" t="e">
        <f>AND(#REF!,"AAAAAGdvfE8=")</f>
        <v>#REF!</v>
      </c>
      <c r="CC42" t="e">
        <f>AND(#REF!,"AAAAAGdvfFA=")</f>
        <v>#REF!</v>
      </c>
      <c r="CD42" t="e">
        <f>AND(#REF!,"AAAAAGdvfFE=")</f>
        <v>#REF!</v>
      </c>
      <c r="CE42" t="e">
        <f>AND(#REF!,"AAAAAGdvfFI=")</f>
        <v>#REF!</v>
      </c>
      <c r="CF42" t="e">
        <f>AND(#REF!,"AAAAAGdvfFM=")</f>
        <v>#REF!</v>
      </c>
      <c r="CG42" t="e">
        <f>AND(#REF!,"AAAAAGdvfFQ=")</f>
        <v>#REF!</v>
      </c>
      <c r="CH42" t="e">
        <f>AND(#REF!,"AAAAAGdvfFU=")</f>
        <v>#REF!</v>
      </c>
      <c r="CI42" t="e">
        <f>AND(#REF!,"AAAAAGdvfFY=")</f>
        <v>#REF!</v>
      </c>
      <c r="CJ42" t="e">
        <f>AND(#REF!,"AAAAAGdvfFc=")</f>
        <v>#REF!</v>
      </c>
      <c r="CK42" t="e">
        <f>AND(#REF!,"AAAAAGdvfFg=")</f>
        <v>#REF!</v>
      </c>
      <c r="CL42" t="e">
        <f>IF(#REF!,"AAAAAGdvfFk=",0)</f>
        <v>#REF!</v>
      </c>
      <c r="CM42" t="e">
        <f>AND(#REF!,"AAAAAGdvfFo=")</f>
        <v>#REF!</v>
      </c>
      <c r="CN42" t="e">
        <f>AND(#REF!,"AAAAAGdvfFs=")</f>
        <v>#REF!</v>
      </c>
      <c r="CO42" t="e">
        <f>AND(#REF!,"AAAAAGdvfFw=")</f>
        <v>#REF!</v>
      </c>
      <c r="CP42" t="e">
        <f>AND(#REF!,"AAAAAGdvfF0=")</f>
        <v>#REF!</v>
      </c>
      <c r="CQ42" t="e">
        <f>AND(#REF!,"AAAAAGdvfF4=")</f>
        <v>#REF!</v>
      </c>
      <c r="CR42" t="e">
        <f>AND(#REF!,"AAAAAGdvfF8=")</f>
        <v>#REF!</v>
      </c>
      <c r="CS42" t="e">
        <f>AND(#REF!,"AAAAAGdvfGA=")</f>
        <v>#REF!</v>
      </c>
      <c r="CT42" t="e">
        <f>AND(#REF!,"AAAAAGdvfGE=")</f>
        <v>#REF!</v>
      </c>
      <c r="CU42" t="e">
        <f>AND(#REF!,"AAAAAGdvfGI=")</f>
        <v>#REF!</v>
      </c>
      <c r="CV42" t="e">
        <f>AND(#REF!,"AAAAAGdvfGM=")</f>
        <v>#REF!</v>
      </c>
      <c r="CW42" t="e">
        <f>AND(#REF!,"AAAAAGdvfGQ=")</f>
        <v>#REF!</v>
      </c>
      <c r="CX42" t="e">
        <f>AND(#REF!,"AAAAAGdvfGU=")</f>
        <v>#REF!</v>
      </c>
      <c r="CY42" t="e">
        <f>AND(#REF!,"AAAAAGdvfGY=")</f>
        <v>#REF!</v>
      </c>
      <c r="CZ42" t="e">
        <f>AND(#REF!,"AAAAAGdvfGc=")</f>
        <v>#REF!</v>
      </c>
      <c r="DA42" t="e">
        <f>AND(#REF!,"AAAAAGdvfGg=")</f>
        <v>#REF!</v>
      </c>
      <c r="DB42" t="e">
        <f>AND(#REF!,"AAAAAGdvfGk=")</f>
        <v>#REF!</v>
      </c>
      <c r="DC42" t="e">
        <f>AND(#REF!,"AAAAAGdvfGo=")</f>
        <v>#REF!</v>
      </c>
      <c r="DD42" t="e">
        <f>AND(#REF!,"AAAAAGdvfGs=")</f>
        <v>#REF!</v>
      </c>
      <c r="DE42" t="e">
        <f>AND(#REF!,"AAAAAGdvfGw=")</f>
        <v>#REF!</v>
      </c>
      <c r="DF42" t="e">
        <f>AND(#REF!,"AAAAAGdvfG0=")</f>
        <v>#REF!</v>
      </c>
      <c r="DG42" t="e">
        <f>IF(#REF!,"AAAAAGdvfG4=",0)</f>
        <v>#REF!</v>
      </c>
      <c r="DH42" t="e">
        <f>AND(#REF!,"AAAAAGdvfG8=")</f>
        <v>#REF!</v>
      </c>
      <c r="DI42" t="e">
        <f>AND(#REF!,"AAAAAGdvfHA=")</f>
        <v>#REF!</v>
      </c>
      <c r="DJ42" t="e">
        <f>AND(#REF!,"AAAAAGdvfHE=")</f>
        <v>#REF!</v>
      </c>
      <c r="DK42" t="e">
        <f>AND(#REF!,"AAAAAGdvfHI=")</f>
        <v>#REF!</v>
      </c>
      <c r="DL42" t="e">
        <f>AND(#REF!,"AAAAAGdvfHM=")</f>
        <v>#REF!</v>
      </c>
      <c r="DM42" t="e">
        <f>AND(#REF!,"AAAAAGdvfHQ=")</f>
        <v>#REF!</v>
      </c>
      <c r="DN42" t="e">
        <f>AND(#REF!,"AAAAAGdvfHU=")</f>
        <v>#REF!</v>
      </c>
      <c r="DO42" t="e">
        <f>AND(#REF!,"AAAAAGdvfHY=")</f>
        <v>#REF!</v>
      </c>
      <c r="DP42" t="e">
        <f>AND(#REF!,"AAAAAGdvfHc=")</f>
        <v>#REF!</v>
      </c>
      <c r="DQ42" t="e">
        <f>AND(#REF!,"AAAAAGdvfHg=")</f>
        <v>#REF!</v>
      </c>
      <c r="DR42" t="e">
        <f>AND(#REF!,"AAAAAGdvfHk=")</f>
        <v>#REF!</v>
      </c>
      <c r="DS42" t="e">
        <f>AND(#REF!,"AAAAAGdvfHo=")</f>
        <v>#REF!</v>
      </c>
      <c r="DT42" t="e">
        <f>AND(#REF!,"AAAAAGdvfHs=")</f>
        <v>#REF!</v>
      </c>
      <c r="DU42" t="e">
        <f>AND(#REF!,"AAAAAGdvfHw=")</f>
        <v>#REF!</v>
      </c>
      <c r="DV42" t="e">
        <f>AND(#REF!,"AAAAAGdvfH0=")</f>
        <v>#REF!</v>
      </c>
      <c r="DW42" t="e">
        <f>AND(#REF!,"AAAAAGdvfH4=")</f>
        <v>#REF!</v>
      </c>
      <c r="DX42" t="e">
        <f>AND(#REF!,"AAAAAGdvfH8=")</f>
        <v>#REF!</v>
      </c>
      <c r="DY42" t="e">
        <f>AND(#REF!,"AAAAAGdvfIA=")</f>
        <v>#REF!</v>
      </c>
      <c r="DZ42" t="e">
        <f>AND(#REF!,"AAAAAGdvfIE=")</f>
        <v>#REF!</v>
      </c>
      <c r="EA42" t="e">
        <f>AND(#REF!,"AAAAAGdvfII=")</f>
        <v>#REF!</v>
      </c>
      <c r="EB42" t="e">
        <f>IF(#REF!,"AAAAAGdvfIM=",0)</f>
        <v>#REF!</v>
      </c>
      <c r="EC42" t="e">
        <f>AND(#REF!,"AAAAAGdvfIQ=")</f>
        <v>#REF!</v>
      </c>
      <c r="ED42" t="e">
        <f>AND(#REF!,"AAAAAGdvfIU=")</f>
        <v>#REF!</v>
      </c>
      <c r="EE42" t="e">
        <f>AND(#REF!,"AAAAAGdvfIY=")</f>
        <v>#REF!</v>
      </c>
      <c r="EF42" t="e">
        <f>AND(#REF!,"AAAAAGdvfIc=")</f>
        <v>#REF!</v>
      </c>
      <c r="EG42" t="e">
        <f>AND(#REF!,"AAAAAGdvfIg=")</f>
        <v>#REF!</v>
      </c>
      <c r="EH42" t="e">
        <f>AND(#REF!,"AAAAAGdvfIk=")</f>
        <v>#REF!</v>
      </c>
      <c r="EI42" t="e">
        <f>AND(#REF!,"AAAAAGdvfIo=")</f>
        <v>#REF!</v>
      </c>
      <c r="EJ42" t="e">
        <f>AND(#REF!,"AAAAAGdvfIs=")</f>
        <v>#REF!</v>
      </c>
      <c r="EK42" t="e">
        <f>AND(#REF!,"AAAAAGdvfIw=")</f>
        <v>#REF!</v>
      </c>
      <c r="EL42" t="e">
        <f>AND(#REF!,"AAAAAGdvfI0=")</f>
        <v>#REF!</v>
      </c>
      <c r="EM42" t="e">
        <f>AND(#REF!,"AAAAAGdvfI4=")</f>
        <v>#REF!</v>
      </c>
      <c r="EN42" t="e">
        <f>AND(#REF!,"AAAAAGdvfI8=")</f>
        <v>#REF!</v>
      </c>
      <c r="EO42" t="e">
        <f>AND(#REF!,"AAAAAGdvfJA=")</f>
        <v>#REF!</v>
      </c>
      <c r="EP42" t="e">
        <f>AND(#REF!,"AAAAAGdvfJE=")</f>
        <v>#REF!</v>
      </c>
      <c r="EQ42" t="e">
        <f>AND(#REF!,"AAAAAGdvfJI=")</f>
        <v>#REF!</v>
      </c>
      <c r="ER42" t="e">
        <f>AND(#REF!,"AAAAAGdvfJM=")</f>
        <v>#REF!</v>
      </c>
      <c r="ES42" t="e">
        <f>AND(#REF!,"AAAAAGdvfJQ=")</f>
        <v>#REF!</v>
      </c>
      <c r="ET42" t="e">
        <f>AND(#REF!,"AAAAAGdvfJU=")</f>
        <v>#REF!</v>
      </c>
      <c r="EU42" t="e">
        <f>AND(#REF!,"AAAAAGdvfJY=")</f>
        <v>#REF!</v>
      </c>
      <c r="EV42" t="e">
        <f>AND(#REF!,"AAAAAGdvfJc=")</f>
        <v>#REF!</v>
      </c>
      <c r="EW42" t="e">
        <f>IF(#REF!,"AAAAAGdvfJg=",0)</f>
        <v>#REF!</v>
      </c>
      <c r="EX42" t="e">
        <f>AND(#REF!,"AAAAAGdvfJk=")</f>
        <v>#REF!</v>
      </c>
      <c r="EY42" t="e">
        <f>AND(#REF!,"AAAAAGdvfJo=")</f>
        <v>#REF!</v>
      </c>
      <c r="EZ42" t="e">
        <f>AND(#REF!,"AAAAAGdvfJs=")</f>
        <v>#REF!</v>
      </c>
      <c r="FA42" t="e">
        <f>AND(#REF!,"AAAAAGdvfJw=")</f>
        <v>#REF!</v>
      </c>
      <c r="FB42" t="e">
        <f>AND(#REF!,"AAAAAGdvfJ0=")</f>
        <v>#REF!</v>
      </c>
      <c r="FC42" t="e">
        <f>AND(#REF!,"AAAAAGdvfJ4=")</f>
        <v>#REF!</v>
      </c>
      <c r="FD42" t="e">
        <f>AND(#REF!,"AAAAAGdvfJ8=")</f>
        <v>#REF!</v>
      </c>
      <c r="FE42" t="e">
        <f>AND(#REF!,"AAAAAGdvfKA=")</f>
        <v>#REF!</v>
      </c>
      <c r="FF42" t="e">
        <f>AND(#REF!,"AAAAAGdvfKE=")</f>
        <v>#REF!</v>
      </c>
      <c r="FG42" t="e">
        <f>AND(#REF!,"AAAAAGdvfKI=")</f>
        <v>#REF!</v>
      </c>
      <c r="FH42" t="e">
        <f>AND(#REF!,"AAAAAGdvfKM=")</f>
        <v>#REF!</v>
      </c>
      <c r="FI42" t="e">
        <f>AND(#REF!,"AAAAAGdvfKQ=")</f>
        <v>#REF!</v>
      </c>
      <c r="FJ42" t="e">
        <f>AND(#REF!,"AAAAAGdvfKU=")</f>
        <v>#REF!</v>
      </c>
      <c r="FK42" t="e">
        <f>AND(#REF!,"AAAAAGdvfKY=")</f>
        <v>#REF!</v>
      </c>
      <c r="FL42" t="e">
        <f>AND(#REF!,"AAAAAGdvfKc=")</f>
        <v>#REF!</v>
      </c>
      <c r="FM42" t="e">
        <f>AND(#REF!,"AAAAAGdvfKg=")</f>
        <v>#REF!</v>
      </c>
      <c r="FN42" t="e">
        <f>AND(#REF!,"AAAAAGdvfKk=")</f>
        <v>#REF!</v>
      </c>
      <c r="FO42" t="e">
        <f>AND(#REF!,"AAAAAGdvfKo=")</f>
        <v>#REF!</v>
      </c>
      <c r="FP42" t="e">
        <f>AND(#REF!,"AAAAAGdvfKs=")</f>
        <v>#REF!</v>
      </c>
      <c r="FQ42" t="e">
        <f>AND(#REF!,"AAAAAGdvfKw=")</f>
        <v>#REF!</v>
      </c>
      <c r="FR42" t="e">
        <f>IF(#REF!,"AAAAAGdvfK0=",0)</f>
        <v>#REF!</v>
      </c>
      <c r="FS42" t="e">
        <f>AND(#REF!,"AAAAAGdvfK4=")</f>
        <v>#REF!</v>
      </c>
      <c r="FT42" t="e">
        <f>AND(#REF!,"AAAAAGdvfK8=")</f>
        <v>#REF!</v>
      </c>
      <c r="FU42" t="e">
        <f>AND(#REF!,"AAAAAGdvfLA=")</f>
        <v>#REF!</v>
      </c>
      <c r="FV42" t="e">
        <f>AND(#REF!,"AAAAAGdvfLE=")</f>
        <v>#REF!</v>
      </c>
      <c r="FW42" t="e">
        <f>AND(#REF!,"AAAAAGdvfLI=")</f>
        <v>#REF!</v>
      </c>
      <c r="FX42" t="e">
        <f>AND(#REF!,"AAAAAGdvfLM=")</f>
        <v>#REF!</v>
      </c>
      <c r="FY42" t="e">
        <f>AND(#REF!,"AAAAAGdvfLQ=")</f>
        <v>#REF!</v>
      </c>
      <c r="FZ42" t="e">
        <f>AND(#REF!,"AAAAAGdvfLU=")</f>
        <v>#REF!</v>
      </c>
      <c r="GA42" t="e">
        <f>AND(#REF!,"AAAAAGdvfLY=")</f>
        <v>#REF!</v>
      </c>
      <c r="GB42" t="e">
        <f>AND(#REF!,"AAAAAGdvfLc=")</f>
        <v>#REF!</v>
      </c>
      <c r="GC42" t="e">
        <f>AND(#REF!,"AAAAAGdvfLg=")</f>
        <v>#REF!</v>
      </c>
      <c r="GD42" t="e">
        <f>AND(#REF!,"AAAAAGdvfLk=")</f>
        <v>#REF!</v>
      </c>
      <c r="GE42" t="e">
        <f>AND(#REF!,"AAAAAGdvfLo=")</f>
        <v>#REF!</v>
      </c>
      <c r="GF42" t="e">
        <f>AND(#REF!,"AAAAAGdvfLs=")</f>
        <v>#REF!</v>
      </c>
      <c r="GG42" t="e">
        <f>AND(#REF!,"AAAAAGdvfLw=")</f>
        <v>#REF!</v>
      </c>
      <c r="GH42" t="e">
        <f>AND(#REF!,"AAAAAGdvfL0=")</f>
        <v>#REF!</v>
      </c>
      <c r="GI42" t="e">
        <f>AND(#REF!,"AAAAAGdvfL4=")</f>
        <v>#REF!</v>
      </c>
      <c r="GJ42" t="e">
        <f>AND(#REF!,"AAAAAGdvfL8=")</f>
        <v>#REF!</v>
      </c>
      <c r="GK42" t="e">
        <f>AND(#REF!,"AAAAAGdvfMA=")</f>
        <v>#REF!</v>
      </c>
      <c r="GL42" t="e">
        <f>AND(#REF!,"AAAAAGdvfME=")</f>
        <v>#REF!</v>
      </c>
      <c r="GM42" t="e">
        <f>IF(#REF!,"AAAAAGdvfMI=",0)</f>
        <v>#REF!</v>
      </c>
      <c r="GN42" t="e">
        <f>AND(#REF!,"AAAAAGdvfMM=")</f>
        <v>#REF!</v>
      </c>
      <c r="GO42" t="e">
        <f>AND(#REF!,"AAAAAGdvfMQ=")</f>
        <v>#REF!</v>
      </c>
      <c r="GP42" t="e">
        <f>AND(#REF!,"AAAAAGdvfMU=")</f>
        <v>#REF!</v>
      </c>
      <c r="GQ42" t="e">
        <f>AND(#REF!,"AAAAAGdvfMY=")</f>
        <v>#REF!</v>
      </c>
      <c r="GR42" t="e">
        <f>AND(#REF!,"AAAAAGdvfMc=")</f>
        <v>#REF!</v>
      </c>
      <c r="GS42" t="e">
        <f>AND(#REF!,"AAAAAGdvfMg=")</f>
        <v>#REF!</v>
      </c>
      <c r="GT42" t="e">
        <f>AND(#REF!,"AAAAAGdvfMk=")</f>
        <v>#REF!</v>
      </c>
      <c r="GU42" t="e">
        <f>AND(#REF!,"AAAAAGdvfMo=")</f>
        <v>#REF!</v>
      </c>
      <c r="GV42" t="e">
        <f>AND(#REF!,"AAAAAGdvfMs=")</f>
        <v>#REF!</v>
      </c>
      <c r="GW42" t="e">
        <f>AND(#REF!,"AAAAAGdvfMw=")</f>
        <v>#REF!</v>
      </c>
      <c r="GX42" t="e">
        <f>AND(#REF!,"AAAAAGdvfM0=")</f>
        <v>#REF!</v>
      </c>
      <c r="GY42" t="e">
        <f>AND(#REF!,"AAAAAGdvfM4=")</f>
        <v>#REF!</v>
      </c>
      <c r="GZ42" t="e">
        <f>AND(#REF!,"AAAAAGdvfM8=")</f>
        <v>#REF!</v>
      </c>
      <c r="HA42" t="e">
        <f>AND(#REF!,"AAAAAGdvfNA=")</f>
        <v>#REF!</v>
      </c>
      <c r="HB42" t="e">
        <f>AND(#REF!,"AAAAAGdvfNE=")</f>
        <v>#REF!</v>
      </c>
      <c r="HC42" t="e">
        <f>AND(#REF!,"AAAAAGdvfNI=")</f>
        <v>#REF!</v>
      </c>
      <c r="HD42" t="e">
        <f>AND(#REF!,"AAAAAGdvfNM=")</f>
        <v>#REF!</v>
      </c>
      <c r="HE42" t="e">
        <f>AND(#REF!,"AAAAAGdvfNQ=")</f>
        <v>#REF!</v>
      </c>
      <c r="HF42" t="e">
        <f>AND(#REF!,"AAAAAGdvfNU=")</f>
        <v>#REF!</v>
      </c>
      <c r="HG42" t="e">
        <f>AND(#REF!,"AAAAAGdvfNY=")</f>
        <v>#REF!</v>
      </c>
      <c r="HH42" t="e">
        <f>IF(#REF!,"AAAAAGdvfNc=",0)</f>
        <v>#REF!</v>
      </c>
      <c r="HI42" t="e">
        <f>AND(#REF!,"AAAAAGdvfNg=")</f>
        <v>#REF!</v>
      </c>
      <c r="HJ42" t="e">
        <f>AND(#REF!,"AAAAAGdvfNk=")</f>
        <v>#REF!</v>
      </c>
      <c r="HK42" t="e">
        <f>AND(#REF!,"AAAAAGdvfNo=")</f>
        <v>#REF!</v>
      </c>
      <c r="HL42" t="e">
        <f>AND(#REF!,"AAAAAGdvfNs=")</f>
        <v>#REF!</v>
      </c>
      <c r="HM42" t="e">
        <f>AND(#REF!,"AAAAAGdvfNw=")</f>
        <v>#REF!</v>
      </c>
      <c r="HN42" t="e">
        <f>AND(#REF!,"AAAAAGdvfN0=")</f>
        <v>#REF!</v>
      </c>
      <c r="HO42" t="e">
        <f>AND(#REF!,"AAAAAGdvfN4=")</f>
        <v>#REF!</v>
      </c>
      <c r="HP42" t="e">
        <f>AND(#REF!,"AAAAAGdvfN8=")</f>
        <v>#REF!</v>
      </c>
      <c r="HQ42" t="e">
        <f>AND(#REF!,"AAAAAGdvfOA=")</f>
        <v>#REF!</v>
      </c>
      <c r="HR42" t="e">
        <f>AND(#REF!,"AAAAAGdvfOE=")</f>
        <v>#REF!</v>
      </c>
      <c r="HS42" t="e">
        <f>AND(#REF!,"AAAAAGdvfOI=")</f>
        <v>#REF!</v>
      </c>
      <c r="HT42" t="e">
        <f>AND(#REF!,"AAAAAGdvfOM=")</f>
        <v>#REF!</v>
      </c>
      <c r="HU42" t="e">
        <f>AND(#REF!,"AAAAAGdvfOQ=")</f>
        <v>#REF!</v>
      </c>
      <c r="HV42" t="e">
        <f>AND(#REF!,"AAAAAGdvfOU=")</f>
        <v>#REF!</v>
      </c>
      <c r="HW42" t="e">
        <f>AND(#REF!,"AAAAAGdvfOY=")</f>
        <v>#REF!</v>
      </c>
      <c r="HX42" t="e">
        <f>AND(#REF!,"AAAAAGdvfOc=")</f>
        <v>#REF!</v>
      </c>
      <c r="HY42" t="e">
        <f>AND(#REF!,"AAAAAGdvfOg=")</f>
        <v>#REF!</v>
      </c>
      <c r="HZ42" t="e">
        <f>AND(#REF!,"AAAAAGdvfOk=")</f>
        <v>#REF!</v>
      </c>
      <c r="IA42" t="e">
        <f>AND(#REF!,"AAAAAGdvfOo=")</f>
        <v>#REF!</v>
      </c>
      <c r="IB42" t="e">
        <f>AND(#REF!,"AAAAAGdvfOs=")</f>
        <v>#REF!</v>
      </c>
      <c r="IC42" t="e">
        <f>IF(#REF!,"AAAAAGdvfOw=",0)</f>
        <v>#REF!</v>
      </c>
      <c r="ID42" t="e">
        <f>AND(#REF!,"AAAAAGdvfO0=")</f>
        <v>#REF!</v>
      </c>
      <c r="IE42" t="e">
        <f>AND(#REF!,"AAAAAGdvfO4=")</f>
        <v>#REF!</v>
      </c>
      <c r="IF42" t="e">
        <f>AND(#REF!,"AAAAAGdvfO8=")</f>
        <v>#REF!</v>
      </c>
      <c r="IG42" t="e">
        <f>AND(#REF!,"AAAAAGdvfPA=")</f>
        <v>#REF!</v>
      </c>
      <c r="IH42" t="e">
        <f>AND(#REF!,"AAAAAGdvfPE=")</f>
        <v>#REF!</v>
      </c>
      <c r="II42" t="e">
        <f>AND(#REF!,"AAAAAGdvfPI=")</f>
        <v>#REF!</v>
      </c>
      <c r="IJ42" t="e">
        <f>AND(#REF!,"AAAAAGdvfPM=")</f>
        <v>#REF!</v>
      </c>
      <c r="IK42" t="e">
        <f>AND(#REF!,"AAAAAGdvfPQ=")</f>
        <v>#REF!</v>
      </c>
      <c r="IL42" t="e">
        <f>AND(#REF!,"AAAAAGdvfPU=")</f>
        <v>#REF!</v>
      </c>
      <c r="IM42" t="e">
        <f>AND(#REF!,"AAAAAGdvfPY=")</f>
        <v>#REF!</v>
      </c>
      <c r="IN42" t="e">
        <f>AND(#REF!,"AAAAAGdvfPc=")</f>
        <v>#REF!</v>
      </c>
      <c r="IO42" t="e">
        <f>AND(#REF!,"AAAAAGdvfPg=")</f>
        <v>#REF!</v>
      </c>
      <c r="IP42" t="e">
        <f>AND(#REF!,"AAAAAGdvfPk=")</f>
        <v>#REF!</v>
      </c>
      <c r="IQ42" t="e">
        <f>AND(#REF!,"AAAAAGdvfPo=")</f>
        <v>#REF!</v>
      </c>
      <c r="IR42" t="e">
        <f>AND(#REF!,"AAAAAGdvfPs=")</f>
        <v>#REF!</v>
      </c>
      <c r="IS42" t="e">
        <f>AND(#REF!,"AAAAAGdvfPw=")</f>
        <v>#REF!</v>
      </c>
      <c r="IT42" t="e">
        <f>AND(#REF!,"AAAAAGdvfP0=")</f>
        <v>#REF!</v>
      </c>
      <c r="IU42" t="e">
        <f>AND(#REF!,"AAAAAGdvfP4=")</f>
        <v>#REF!</v>
      </c>
      <c r="IV42" t="e">
        <f>AND(#REF!,"AAAAAGdvfP8=")</f>
        <v>#REF!</v>
      </c>
    </row>
    <row r="43" spans="1:256" x14ac:dyDescent="0.25">
      <c r="A43" t="e">
        <f>AND(#REF!,"AAAAAD/97wA=")</f>
        <v>#REF!</v>
      </c>
      <c r="B43" t="e">
        <f>IF(#REF!,"AAAAAD/97wE=",0)</f>
        <v>#REF!</v>
      </c>
      <c r="C43" t="e">
        <f>AND(#REF!,"AAAAAD/97wI=")</f>
        <v>#REF!</v>
      </c>
      <c r="D43" t="e">
        <f>AND(#REF!,"AAAAAD/97wM=")</f>
        <v>#REF!</v>
      </c>
      <c r="E43" t="e">
        <f>AND(#REF!,"AAAAAD/97wQ=")</f>
        <v>#REF!</v>
      </c>
      <c r="F43" t="e">
        <f>AND(#REF!,"AAAAAD/97wU=")</f>
        <v>#REF!</v>
      </c>
      <c r="G43" t="e">
        <f>AND(#REF!,"AAAAAD/97wY=")</f>
        <v>#REF!</v>
      </c>
      <c r="H43" t="e">
        <f>AND(#REF!,"AAAAAD/97wc=")</f>
        <v>#REF!</v>
      </c>
      <c r="I43" t="e">
        <f>AND(#REF!,"AAAAAD/97wg=")</f>
        <v>#REF!</v>
      </c>
      <c r="J43" t="e">
        <f>AND(#REF!,"AAAAAD/97wk=")</f>
        <v>#REF!</v>
      </c>
      <c r="K43" t="e">
        <f>AND(#REF!,"AAAAAD/97wo=")</f>
        <v>#REF!</v>
      </c>
      <c r="L43" t="e">
        <f>AND(#REF!,"AAAAAD/97ws=")</f>
        <v>#REF!</v>
      </c>
      <c r="M43" t="e">
        <f>AND(#REF!,"AAAAAD/97ww=")</f>
        <v>#REF!</v>
      </c>
      <c r="N43" t="e">
        <f>AND(#REF!,"AAAAAD/97w0=")</f>
        <v>#REF!</v>
      </c>
      <c r="O43" t="e">
        <f>AND(#REF!,"AAAAAD/97w4=")</f>
        <v>#REF!</v>
      </c>
      <c r="P43" t="e">
        <f>AND(#REF!,"AAAAAD/97w8=")</f>
        <v>#REF!</v>
      </c>
      <c r="Q43" t="e">
        <f>AND(#REF!,"AAAAAD/97xA=")</f>
        <v>#REF!</v>
      </c>
      <c r="R43" t="e">
        <f>AND(#REF!,"AAAAAD/97xE=")</f>
        <v>#REF!</v>
      </c>
      <c r="S43" t="e">
        <f>AND(#REF!,"AAAAAD/97xI=")</f>
        <v>#REF!</v>
      </c>
      <c r="T43" t="e">
        <f>AND(#REF!,"AAAAAD/97xM=")</f>
        <v>#REF!</v>
      </c>
      <c r="U43" t="e">
        <f>AND(#REF!,"AAAAAD/97xQ=")</f>
        <v>#REF!</v>
      </c>
      <c r="V43" t="e">
        <f>AND(#REF!,"AAAAAD/97xU=")</f>
        <v>#REF!</v>
      </c>
      <c r="W43" t="e">
        <f>IF(#REF!,"AAAAAD/97xY=",0)</f>
        <v>#REF!</v>
      </c>
      <c r="X43" t="e">
        <f>AND(#REF!,"AAAAAD/97xc=")</f>
        <v>#REF!</v>
      </c>
      <c r="Y43" t="e">
        <f>AND(#REF!,"AAAAAD/97xg=")</f>
        <v>#REF!</v>
      </c>
      <c r="Z43" t="e">
        <f>AND(#REF!,"AAAAAD/97xk=")</f>
        <v>#REF!</v>
      </c>
      <c r="AA43" t="e">
        <f>AND(#REF!,"AAAAAD/97xo=")</f>
        <v>#REF!</v>
      </c>
      <c r="AB43" t="e">
        <f>AND(#REF!,"AAAAAD/97xs=")</f>
        <v>#REF!</v>
      </c>
      <c r="AC43" t="e">
        <f>AND(#REF!,"AAAAAD/97xw=")</f>
        <v>#REF!</v>
      </c>
      <c r="AD43" t="e">
        <f>AND(#REF!,"AAAAAD/97x0=")</f>
        <v>#REF!</v>
      </c>
      <c r="AE43" t="e">
        <f>AND(#REF!,"AAAAAD/97x4=")</f>
        <v>#REF!</v>
      </c>
      <c r="AF43" t="e">
        <f>AND(#REF!,"AAAAAD/97x8=")</f>
        <v>#REF!</v>
      </c>
      <c r="AG43" t="e">
        <f>AND(#REF!,"AAAAAD/97yA=")</f>
        <v>#REF!</v>
      </c>
      <c r="AH43" t="e">
        <f>AND(#REF!,"AAAAAD/97yE=")</f>
        <v>#REF!</v>
      </c>
      <c r="AI43" t="e">
        <f>AND(#REF!,"AAAAAD/97yI=")</f>
        <v>#REF!</v>
      </c>
      <c r="AJ43" t="e">
        <f>AND(#REF!,"AAAAAD/97yM=")</f>
        <v>#REF!</v>
      </c>
      <c r="AK43" t="e">
        <f>AND(#REF!,"AAAAAD/97yQ=")</f>
        <v>#REF!</v>
      </c>
      <c r="AL43" t="e">
        <f>AND(#REF!,"AAAAAD/97yU=")</f>
        <v>#REF!</v>
      </c>
      <c r="AM43" t="e">
        <f>AND(#REF!,"AAAAAD/97yY=")</f>
        <v>#REF!</v>
      </c>
      <c r="AN43" t="e">
        <f>AND(#REF!,"AAAAAD/97yc=")</f>
        <v>#REF!</v>
      </c>
      <c r="AO43" t="e">
        <f>AND(#REF!,"AAAAAD/97yg=")</f>
        <v>#REF!</v>
      </c>
      <c r="AP43" t="e">
        <f>AND(#REF!,"AAAAAD/97yk=")</f>
        <v>#REF!</v>
      </c>
      <c r="AQ43" t="e">
        <f>AND(#REF!,"AAAAAD/97yo=")</f>
        <v>#REF!</v>
      </c>
      <c r="AR43" t="e">
        <f>IF(#REF!,"AAAAAD/97ys=",0)</f>
        <v>#REF!</v>
      </c>
      <c r="AS43" t="e">
        <f>AND(#REF!,"AAAAAD/97yw=")</f>
        <v>#REF!</v>
      </c>
      <c r="AT43" t="e">
        <f>AND(#REF!,"AAAAAD/97y0=")</f>
        <v>#REF!</v>
      </c>
      <c r="AU43" t="e">
        <f>AND(#REF!,"AAAAAD/97y4=")</f>
        <v>#REF!</v>
      </c>
      <c r="AV43" t="e">
        <f>AND(#REF!,"AAAAAD/97y8=")</f>
        <v>#REF!</v>
      </c>
      <c r="AW43" t="e">
        <f>AND(#REF!,"AAAAAD/97zA=")</f>
        <v>#REF!</v>
      </c>
      <c r="AX43" t="e">
        <f>AND(#REF!,"AAAAAD/97zE=")</f>
        <v>#REF!</v>
      </c>
      <c r="AY43" t="e">
        <f>AND(#REF!,"AAAAAD/97zI=")</f>
        <v>#REF!</v>
      </c>
      <c r="AZ43" t="e">
        <f>AND(#REF!,"AAAAAD/97zM=")</f>
        <v>#REF!</v>
      </c>
      <c r="BA43" t="e">
        <f>AND(#REF!,"AAAAAD/97zQ=")</f>
        <v>#REF!</v>
      </c>
      <c r="BB43" t="e">
        <f>AND(#REF!,"AAAAAD/97zU=")</f>
        <v>#REF!</v>
      </c>
      <c r="BC43" t="e">
        <f>AND(#REF!,"AAAAAD/97zY=")</f>
        <v>#REF!</v>
      </c>
      <c r="BD43" t="e">
        <f>AND(#REF!,"AAAAAD/97zc=")</f>
        <v>#REF!</v>
      </c>
      <c r="BE43" t="e">
        <f>AND(#REF!,"AAAAAD/97zg=")</f>
        <v>#REF!</v>
      </c>
      <c r="BF43" t="e">
        <f>AND(#REF!,"AAAAAD/97zk=")</f>
        <v>#REF!</v>
      </c>
      <c r="BG43" t="e">
        <f>AND(#REF!,"AAAAAD/97zo=")</f>
        <v>#REF!</v>
      </c>
      <c r="BH43" t="e">
        <f>AND(#REF!,"AAAAAD/97zs=")</f>
        <v>#REF!</v>
      </c>
      <c r="BI43" t="e">
        <f>AND(#REF!,"AAAAAD/97zw=")</f>
        <v>#REF!</v>
      </c>
      <c r="BJ43" t="e">
        <f>AND(#REF!,"AAAAAD/97z0=")</f>
        <v>#REF!</v>
      </c>
      <c r="BK43" t="e">
        <f>AND(#REF!,"AAAAAD/97z4=")</f>
        <v>#REF!</v>
      </c>
      <c r="BL43" t="e">
        <f>AND(#REF!,"AAAAAD/97z8=")</f>
        <v>#REF!</v>
      </c>
      <c r="BM43" t="e">
        <f>IF(#REF!,"AAAAAD/970A=",0)</f>
        <v>#REF!</v>
      </c>
      <c r="BN43" t="e">
        <f>AND(#REF!,"AAAAAD/970E=")</f>
        <v>#REF!</v>
      </c>
      <c r="BO43" t="e">
        <f>AND(#REF!,"AAAAAD/970I=")</f>
        <v>#REF!</v>
      </c>
      <c r="BP43" t="e">
        <f>AND(#REF!,"AAAAAD/970M=")</f>
        <v>#REF!</v>
      </c>
      <c r="BQ43" t="e">
        <f>AND(#REF!,"AAAAAD/970Q=")</f>
        <v>#REF!</v>
      </c>
      <c r="BR43" t="e">
        <f>AND(#REF!,"AAAAAD/970U=")</f>
        <v>#REF!</v>
      </c>
      <c r="BS43" t="e">
        <f>AND(#REF!,"AAAAAD/970Y=")</f>
        <v>#REF!</v>
      </c>
      <c r="BT43" t="e">
        <f>AND(#REF!,"AAAAAD/970c=")</f>
        <v>#REF!</v>
      </c>
      <c r="BU43" t="e">
        <f>AND(#REF!,"AAAAAD/970g=")</f>
        <v>#REF!</v>
      </c>
      <c r="BV43" t="e">
        <f>AND(#REF!,"AAAAAD/970k=")</f>
        <v>#REF!</v>
      </c>
      <c r="BW43" t="e">
        <f>AND(#REF!,"AAAAAD/970o=")</f>
        <v>#REF!</v>
      </c>
      <c r="BX43" t="e">
        <f>AND(#REF!,"AAAAAD/970s=")</f>
        <v>#REF!</v>
      </c>
      <c r="BY43" t="e">
        <f>AND(#REF!,"AAAAAD/970w=")</f>
        <v>#REF!</v>
      </c>
      <c r="BZ43" t="e">
        <f>AND(#REF!,"AAAAAD/9700=")</f>
        <v>#REF!</v>
      </c>
      <c r="CA43" t="e">
        <f>AND(#REF!,"AAAAAD/9704=")</f>
        <v>#REF!</v>
      </c>
      <c r="CB43" t="e">
        <f>AND(#REF!,"AAAAAD/9708=")</f>
        <v>#REF!</v>
      </c>
      <c r="CC43" t="e">
        <f>AND(#REF!,"AAAAAD/971A=")</f>
        <v>#REF!</v>
      </c>
      <c r="CD43" t="e">
        <f>AND(#REF!,"AAAAAD/971E=")</f>
        <v>#REF!</v>
      </c>
      <c r="CE43" t="e">
        <f>AND(#REF!,"AAAAAD/971I=")</f>
        <v>#REF!</v>
      </c>
      <c r="CF43" t="e">
        <f>AND(#REF!,"AAAAAD/971M=")</f>
        <v>#REF!</v>
      </c>
      <c r="CG43" t="e">
        <f>AND(#REF!,"AAAAAD/971Q=")</f>
        <v>#REF!</v>
      </c>
      <c r="CH43" t="e">
        <f>IF(#REF!,"AAAAAD/971U=",0)</f>
        <v>#REF!</v>
      </c>
      <c r="CI43" t="e">
        <f>AND(#REF!,"AAAAAD/971Y=")</f>
        <v>#REF!</v>
      </c>
      <c r="CJ43" t="e">
        <f>AND(#REF!,"AAAAAD/971c=")</f>
        <v>#REF!</v>
      </c>
      <c r="CK43" t="e">
        <f>AND(#REF!,"AAAAAD/971g=")</f>
        <v>#REF!</v>
      </c>
      <c r="CL43" t="e">
        <f>AND(#REF!,"AAAAAD/971k=")</f>
        <v>#REF!</v>
      </c>
      <c r="CM43" t="e">
        <f>AND(#REF!,"AAAAAD/971o=")</f>
        <v>#REF!</v>
      </c>
      <c r="CN43" t="e">
        <f>AND(#REF!,"AAAAAD/971s=")</f>
        <v>#REF!</v>
      </c>
      <c r="CO43" t="e">
        <f>AND(#REF!,"AAAAAD/971w=")</f>
        <v>#REF!</v>
      </c>
      <c r="CP43" t="e">
        <f>AND(#REF!,"AAAAAD/9710=")</f>
        <v>#REF!</v>
      </c>
      <c r="CQ43" t="e">
        <f>AND(#REF!,"AAAAAD/9714=")</f>
        <v>#REF!</v>
      </c>
      <c r="CR43" t="e">
        <f>AND(#REF!,"AAAAAD/9718=")</f>
        <v>#REF!</v>
      </c>
      <c r="CS43" t="e">
        <f>AND(#REF!,"AAAAAD/972A=")</f>
        <v>#REF!</v>
      </c>
      <c r="CT43" t="e">
        <f>AND(#REF!,"AAAAAD/972E=")</f>
        <v>#REF!</v>
      </c>
      <c r="CU43" t="e">
        <f>AND(#REF!,"AAAAAD/972I=")</f>
        <v>#REF!</v>
      </c>
      <c r="CV43" t="e">
        <f>AND(#REF!,"AAAAAD/972M=")</f>
        <v>#REF!</v>
      </c>
      <c r="CW43" t="e">
        <f>AND(#REF!,"AAAAAD/972Q=")</f>
        <v>#REF!</v>
      </c>
      <c r="CX43" t="e">
        <f>AND(#REF!,"AAAAAD/972U=")</f>
        <v>#REF!</v>
      </c>
      <c r="CY43" t="e">
        <f>AND(#REF!,"AAAAAD/972Y=")</f>
        <v>#REF!</v>
      </c>
      <c r="CZ43" t="e">
        <f>AND(#REF!,"AAAAAD/972c=")</f>
        <v>#REF!</v>
      </c>
      <c r="DA43" t="e">
        <f>AND(#REF!,"AAAAAD/972g=")</f>
        <v>#REF!</v>
      </c>
      <c r="DB43" t="e">
        <f>AND(#REF!,"AAAAAD/972k=")</f>
        <v>#REF!</v>
      </c>
      <c r="DC43" t="e">
        <f>IF(#REF!,"AAAAAD/972o=",0)</f>
        <v>#REF!</v>
      </c>
      <c r="DD43" t="e">
        <f>AND(#REF!,"AAAAAD/972s=")</f>
        <v>#REF!</v>
      </c>
      <c r="DE43" t="e">
        <f>AND(#REF!,"AAAAAD/972w=")</f>
        <v>#REF!</v>
      </c>
      <c r="DF43" t="e">
        <f>AND(#REF!,"AAAAAD/9720=")</f>
        <v>#REF!</v>
      </c>
      <c r="DG43" t="e">
        <f>AND(#REF!,"AAAAAD/9724=")</f>
        <v>#REF!</v>
      </c>
      <c r="DH43" t="e">
        <f>AND(#REF!,"AAAAAD/9728=")</f>
        <v>#REF!</v>
      </c>
      <c r="DI43" t="e">
        <f>AND(#REF!,"AAAAAD/973A=")</f>
        <v>#REF!</v>
      </c>
      <c r="DJ43" t="e">
        <f>AND(#REF!,"AAAAAD/973E=")</f>
        <v>#REF!</v>
      </c>
      <c r="DK43" t="e">
        <f>AND(#REF!,"AAAAAD/973I=")</f>
        <v>#REF!</v>
      </c>
      <c r="DL43" t="e">
        <f>AND(#REF!,"AAAAAD/973M=")</f>
        <v>#REF!</v>
      </c>
      <c r="DM43" t="e">
        <f>AND(#REF!,"AAAAAD/973Q=")</f>
        <v>#REF!</v>
      </c>
      <c r="DN43" t="e">
        <f>AND(#REF!,"AAAAAD/973U=")</f>
        <v>#REF!</v>
      </c>
      <c r="DO43" t="e">
        <f>AND(#REF!,"AAAAAD/973Y=")</f>
        <v>#REF!</v>
      </c>
      <c r="DP43" t="e">
        <f>AND(#REF!,"AAAAAD/973c=")</f>
        <v>#REF!</v>
      </c>
      <c r="DQ43" t="e">
        <f>AND(#REF!,"AAAAAD/973g=")</f>
        <v>#REF!</v>
      </c>
      <c r="DR43" t="e">
        <f>AND(#REF!,"AAAAAD/973k=")</f>
        <v>#REF!</v>
      </c>
      <c r="DS43" t="e">
        <f>AND(#REF!,"AAAAAD/973o=")</f>
        <v>#REF!</v>
      </c>
      <c r="DT43" t="e">
        <f>AND(#REF!,"AAAAAD/973s=")</f>
        <v>#REF!</v>
      </c>
      <c r="DU43" t="e">
        <f>AND(#REF!,"AAAAAD/973w=")</f>
        <v>#REF!</v>
      </c>
      <c r="DV43" t="e">
        <f>AND(#REF!,"AAAAAD/9730=")</f>
        <v>#REF!</v>
      </c>
      <c r="DW43" t="e">
        <f>AND(#REF!,"AAAAAD/9734=")</f>
        <v>#REF!</v>
      </c>
      <c r="DX43" t="e">
        <f>IF(#REF!,"AAAAAD/9738=",0)</f>
        <v>#REF!</v>
      </c>
      <c r="DY43" t="e">
        <f>AND(#REF!,"AAAAAD/974A=")</f>
        <v>#REF!</v>
      </c>
      <c r="DZ43" t="e">
        <f>AND(#REF!,"AAAAAD/974E=")</f>
        <v>#REF!</v>
      </c>
      <c r="EA43" t="e">
        <f>AND(#REF!,"AAAAAD/974I=")</f>
        <v>#REF!</v>
      </c>
      <c r="EB43" t="e">
        <f>AND(#REF!,"AAAAAD/974M=")</f>
        <v>#REF!</v>
      </c>
      <c r="EC43" t="e">
        <f>AND(#REF!,"AAAAAD/974Q=")</f>
        <v>#REF!</v>
      </c>
      <c r="ED43" t="e">
        <f>AND(#REF!,"AAAAAD/974U=")</f>
        <v>#REF!</v>
      </c>
      <c r="EE43" t="e">
        <f>AND(#REF!,"AAAAAD/974Y=")</f>
        <v>#REF!</v>
      </c>
      <c r="EF43" t="e">
        <f>AND(#REF!,"AAAAAD/974c=")</f>
        <v>#REF!</v>
      </c>
      <c r="EG43" t="e">
        <f>AND(#REF!,"AAAAAD/974g=")</f>
        <v>#REF!</v>
      </c>
      <c r="EH43" t="e">
        <f>AND(#REF!,"AAAAAD/974k=")</f>
        <v>#REF!</v>
      </c>
      <c r="EI43" t="e">
        <f>AND(#REF!,"AAAAAD/974o=")</f>
        <v>#REF!</v>
      </c>
      <c r="EJ43" t="e">
        <f>AND(#REF!,"AAAAAD/974s=")</f>
        <v>#REF!</v>
      </c>
      <c r="EK43" t="e">
        <f>AND(#REF!,"AAAAAD/974w=")</f>
        <v>#REF!</v>
      </c>
      <c r="EL43" t="e">
        <f>AND(#REF!,"AAAAAD/9740=")</f>
        <v>#REF!</v>
      </c>
      <c r="EM43" t="e">
        <f>AND(#REF!,"AAAAAD/9744=")</f>
        <v>#REF!</v>
      </c>
      <c r="EN43" t="e">
        <f>AND(#REF!,"AAAAAD/9748=")</f>
        <v>#REF!</v>
      </c>
      <c r="EO43" t="e">
        <f>AND(#REF!,"AAAAAD/975A=")</f>
        <v>#REF!</v>
      </c>
      <c r="EP43" t="e">
        <f>AND(#REF!,"AAAAAD/975E=")</f>
        <v>#REF!</v>
      </c>
      <c r="EQ43" t="e">
        <f>AND(#REF!,"AAAAAD/975I=")</f>
        <v>#REF!</v>
      </c>
      <c r="ER43" t="e">
        <f>AND(#REF!,"AAAAAD/975M=")</f>
        <v>#REF!</v>
      </c>
      <c r="ES43" t="e">
        <f>IF(#REF!,"AAAAAD/975Q=",0)</f>
        <v>#REF!</v>
      </c>
      <c r="ET43" t="e">
        <f>AND(#REF!,"AAAAAD/975U=")</f>
        <v>#REF!</v>
      </c>
      <c r="EU43" t="e">
        <f>AND(#REF!,"AAAAAD/975Y=")</f>
        <v>#REF!</v>
      </c>
      <c r="EV43" t="e">
        <f>AND(#REF!,"AAAAAD/975c=")</f>
        <v>#REF!</v>
      </c>
      <c r="EW43" t="e">
        <f>AND(#REF!,"AAAAAD/975g=")</f>
        <v>#REF!</v>
      </c>
      <c r="EX43" t="e">
        <f>AND(#REF!,"AAAAAD/975k=")</f>
        <v>#REF!</v>
      </c>
      <c r="EY43" t="e">
        <f>AND(#REF!,"AAAAAD/975o=")</f>
        <v>#REF!</v>
      </c>
      <c r="EZ43" t="e">
        <f>AND(#REF!,"AAAAAD/975s=")</f>
        <v>#REF!</v>
      </c>
      <c r="FA43" t="e">
        <f>AND(#REF!,"AAAAAD/975w=")</f>
        <v>#REF!</v>
      </c>
      <c r="FB43" t="e">
        <f>AND(#REF!,"AAAAAD/9750=")</f>
        <v>#REF!</v>
      </c>
      <c r="FC43" t="e">
        <f>AND(#REF!,"AAAAAD/9754=")</f>
        <v>#REF!</v>
      </c>
      <c r="FD43" t="e">
        <f>AND(#REF!,"AAAAAD/9758=")</f>
        <v>#REF!</v>
      </c>
      <c r="FE43" t="e">
        <f>AND(#REF!,"AAAAAD/976A=")</f>
        <v>#REF!</v>
      </c>
      <c r="FF43" t="e">
        <f>AND(#REF!,"AAAAAD/976E=")</f>
        <v>#REF!</v>
      </c>
      <c r="FG43" t="e">
        <f>AND(#REF!,"AAAAAD/976I=")</f>
        <v>#REF!</v>
      </c>
      <c r="FH43" t="e">
        <f>AND(#REF!,"AAAAAD/976M=")</f>
        <v>#REF!</v>
      </c>
      <c r="FI43" t="e">
        <f>AND(#REF!,"AAAAAD/976Q=")</f>
        <v>#REF!</v>
      </c>
      <c r="FJ43" t="e">
        <f>AND(#REF!,"AAAAAD/976U=")</f>
        <v>#REF!</v>
      </c>
      <c r="FK43" t="e">
        <f>AND(#REF!,"AAAAAD/976Y=")</f>
        <v>#REF!</v>
      </c>
      <c r="FL43" t="e">
        <f>AND(#REF!,"AAAAAD/976c=")</f>
        <v>#REF!</v>
      </c>
      <c r="FM43" t="e">
        <f>AND(#REF!,"AAAAAD/976g=")</f>
        <v>#REF!</v>
      </c>
      <c r="FN43" t="e">
        <f>IF(#REF!,"AAAAAD/976k=",0)</f>
        <v>#REF!</v>
      </c>
      <c r="FO43" t="e">
        <f>AND(#REF!,"AAAAAD/976o=")</f>
        <v>#REF!</v>
      </c>
      <c r="FP43" t="e">
        <f>AND(#REF!,"AAAAAD/976s=")</f>
        <v>#REF!</v>
      </c>
      <c r="FQ43" t="e">
        <f>AND(#REF!,"AAAAAD/976w=")</f>
        <v>#REF!</v>
      </c>
      <c r="FR43" t="e">
        <f>AND(#REF!,"AAAAAD/9760=")</f>
        <v>#REF!</v>
      </c>
      <c r="FS43" t="e">
        <f>AND(#REF!,"AAAAAD/9764=")</f>
        <v>#REF!</v>
      </c>
      <c r="FT43" t="e">
        <f>AND(#REF!,"AAAAAD/9768=")</f>
        <v>#REF!</v>
      </c>
      <c r="FU43" t="e">
        <f>AND(#REF!,"AAAAAD/977A=")</f>
        <v>#REF!</v>
      </c>
      <c r="FV43" t="e">
        <f>AND(#REF!,"AAAAAD/977E=")</f>
        <v>#REF!</v>
      </c>
      <c r="FW43" t="e">
        <f>AND(#REF!,"AAAAAD/977I=")</f>
        <v>#REF!</v>
      </c>
      <c r="FX43" t="e">
        <f>AND(#REF!,"AAAAAD/977M=")</f>
        <v>#REF!</v>
      </c>
      <c r="FY43" t="e">
        <f>AND(#REF!,"AAAAAD/977Q=")</f>
        <v>#REF!</v>
      </c>
      <c r="FZ43" t="e">
        <f>AND(#REF!,"AAAAAD/977U=")</f>
        <v>#REF!</v>
      </c>
      <c r="GA43" t="e">
        <f>AND(#REF!,"AAAAAD/977Y=")</f>
        <v>#REF!</v>
      </c>
      <c r="GB43" t="e">
        <f>AND(#REF!,"AAAAAD/977c=")</f>
        <v>#REF!</v>
      </c>
      <c r="GC43" t="e">
        <f>AND(#REF!,"AAAAAD/977g=")</f>
        <v>#REF!</v>
      </c>
      <c r="GD43" t="e">
        <f>AND(#REF!,"AAAAAD/977k=")</f>
        <v>#REF!</v>
      </c>
      <c r="GE43" t="e">
        <f>AND(#REF!,"AAAAAD/977o=")</f>
        <v>#REF!</v>
      </c>
      <c r="GF43" t="e">
        <f>AND(#REF!,"AAAAAD/977s=")</f>
        <v>#REF!</v>
      </c>
      <c r="GG43" t="e">
        <f>AND(#REF!,"AAAAAD/977w=")</f>
        <v>#REF!</v>
      </c>
      <c r="GH43" t="e">
        <f>AND(#REF!,"AAAAAD/9770=")</f>
        <v>#REF!</v>
      </c>
      <c r="GI43" t="e">
        <f>IF(#REF!,"AAAAAD/9774=",0)</f>
        <v>#REF!</v>
      </c>
      <c r="GJ43" t="e">
        <f>AND(#REF!,"AAAAAD/9778=")</f>
        <v>#REF!</v>
      </c>
      <c r="GK43" t="e">
        <f>AND(#REF!,"AAAAAD/978A=")</f>
        <v>#REF!</v>
      </c>
      <c r="GL43" t="e">
        <f>AND(#REF!,"AAAAAD/978E=")</f>
        <v>#REF!</v>
      </c>
      <c r="GM43" t="e">
        <f>AND(#REF!,"AAAAAD/978I=")</f>
        <v>#REF!</v>
      </c>
      <c r="GN43" t="e">
        <f>AND(#REF!,"AAAAAD/978M=")</f>
        <v>#REF!</v>
      </c>
      <c r="GO43" t="e">
        <f>AND(#REF!,"AAAAAD/978Q=")</f>
        <v>#REF!</v>
      </c>
      <c r="GP43" t="e">
        <f>AND(#REF!,"AAAAAD/978U=")</f>
        <v>#REF!</v>
      </c>
      <c r="GQ43" t="e">
        <f>AND(#REF!,"AAAAAD/978Y=")</f>
        <v>#REF!</v>
      </c>
      <c r="GR43" t="e">
        <f>AND(#REF!,"AAAAAD/978c=")</f>
        <v>#REF!</v>
      </c>
      <c r="GS43" t="e">
        <f>AND(#REF!,"AAAAAD/978g=")</f>
        <v>#REF!</v>
      </c>
      <c r="GT43" t="e">
        <f>AND(#REF!,"AAAAAD/978k=")</f>
        <v>#REF!</v>
      </c>
      <c r="GU43" t="e">
        <f>AND(#REF!,"AAAAAD/978o=")</f>
        <v>#REF!</v>
      </c>
      <c r="GV43" t="e">
        <f>AND(#REF!,"AAAAAD/978s=")</f>
        <v>#REF!</v>
      </c>
      <c r="GW43" t="e">
        <f>AND(#REF!,"AAAAAD/978w=")</f>
        <v>#REF!</v>
      </c>
      <c r="GX43" t="e">
        <f>AND(#REF!,"AAAAAD/9780=")</f>
        <v>#REF!</v>
      </c>
      <c r="GY43" t="e">
        <f>AND(#REF!,"AAAAAD/9784=")</f>
        <v>#REF!</v>
      </c>
      <c r="GZ43" t="e">
        <f>AND(#REF!,"AAAAAD/9788=")</f>
        <v>#REF!</v>
      </c>
      <c r="HA43" t="e">
        <f>AND(#REF!,"AAAAAD/979A=")</f>
        <v>#REF!</v>
      </c>
      <c r="HB43" t="e">
        <f>AND(#REF!,"AAAAAD/979E=")</f>
        <v>#REF!</v>
      </c>
      <c r="HC43" t="e">
        <f>AND(#REF!,"AAAAAD/979I=")</f>
        <v>#REF!</v>
      </c>
      <c r="HD43" t="e">
        <f>IF(#REF!,"AAAAAD/979M=",0)</f>
        <v>#REF!</v>
      </c>
      <c r="HE43" t="e">
        <f>AND(#REF!,"AAAAAD/979Q=")</f>
        <v>#REF!</v>
      </c>
      <c r="HF43" t="e">
        <f>AND(#REF!,"AAAAAD/979U=")</f>
        <v>#REF!</v>
      </c>
      <c r="HG43" t="e">
        <f>AND(#REF!,"AAAAAD/979Y=")</f>
        <v>#REF!</v>
      </c>
      <c r="HH43" t="e">
        <f>AND(#REF!,"AAAAAD/979c=")</f>
        <v>#REF!</v>
      </c>
      <c r="HI43" t="e">
        <f>AND(#REF!,"AAAAAD/979g=")</f>
        <v>#REF!</v>
      </c>
      <c r="HJ43" t="e">
        <f>AND(#REF!,"AAAAAD/979k=")</f>
        <v>#REF!</v>
      </c>
      <c r="HK43" t="e">
        <f>AND(#REF!,"AAAAAD/979o=")</f>
        <v>#REF!</v>
      </c>
      <c r="HL43" t="e">
        <f>AND(#REF!,"AAAAAD/979s=")</f>
        <v>#REF!</v>
      </c>
      <c r="HM43" t="e">
        <f>AND(#REF!,"AAAAAD/979w=")</f>
        <v>#REF!</v>
      </c>
      <c r="HN43" t="e">
        <f>AND(#REF!,"AAAAAD/9790=")</f>
        <v>#REF!</v>
      </c>
      <c r="HO43" t="e">
        <f>AND(#REF!,"AAAAAD/9794=")</f>
        <v>#REF!</v>
      </c>
      <c r="HP43" t="e">
        <f>AND(#REF!,"AAAAAD/9798=")</f>
        <v>#REF!</v>
      </c>
      <c r="HQ43" t="e">
        <f>AND(#REF!,"AAAAAD/97+A=")</f>
        <v>#REF!</v>
      </c>
      <c r="HR43" t="e">
        <f>AND(#REF!,"AAAAAD/97+E=")</f>
        <v>#REF!</v>
      </c>
      <c r="HS43" t="e">
        <f>AND(#REF!,"AAAAAD/97+I=")</f>
        <v>#REF!</v>
      </c>
      <c r="HT43" t="e">
        <f>AND(#REF!,"AAAAAD/97+M=")</f>
        <v>#REF!</v>
      </c>
      <c r="HU43" t="e">
        <f>AND(#REF!,"AAAAAD/97+Q=")</f>
        <v>#REF!</v>
      </c>
      <c r="HV43" t="e">
        <f>AND(#REF!,"AAAAAD/97+U=")</f>
        <v>#REF!</v>
      </c>
      <c r="HW43" t="e">
        <f>AND(#REF!,"AAAAAD/97+Y=")</f>
        <v>#REF!</v>
      </c>
      <c r="HX43" t="e">
        <f>AND(#REF!,"AAAAAD/97+c=")</f>
        <v>#REF!</v>
      </c>
      <c r="HY43" t="e">
        <f>IF(#REF!,"AAAAAD/97+g=",0)</f>
        <v>#REF!</v>
      </c>
      <c r="HZ43" t="e">
        <f>AND(#REF!,"AAAAAD/97+k=")</f>
        <v>#REF!</v>
      </c>
      <c r="IA43" t="e">
        <f>AND(#REF!,"AAAAAD/97+o=")</f>
        <v>#REF!</v>
      </c>
      <c r="IB43" t="e">
        <f>AND(#REF!,"AAAAAD/97+s=")</f>
        <v>#REF!</v>
      </c>
      <c r="IC43" t="e">
        <f>AND(#REF!,"AAAAAD/97+w=")</f>
        <v>#REF!</v>
      </c>
      <c r="ID43" t="e">
        <f>AND(#REF!,"AAAAAD/97+0=")</f>
        <v>#REF!</v>
      </c>
      <c r="IE43" t="e">
        <f>AND(#REF!,"AAAAAD/97+4=")</f>
        <v>#REF!</v>
      </c>
      <c r="IF43" t="e">
        <f>AND(#REF!,"AAAAAD/97+8=")</f>
        <v>#REF!</v>
      </c>
      <c r="IG43" t="e">
        <f>AND(#REF!,"AAAAAD/97/A=")</f>
        <v>#REF!</v>
      </c>
      <c r="IH43" t="e">
        <f>AND(#REF!,"AAAAAD/97/E=")</f>
        <v>#REF!</v>
      </c>
      <c r="II43" t="e">
        <f>AND(#REF!,"AAAAAD/97/I=")</f>
        <v>#REF!</v>
      </c>
      <c r="IJ43" t="e">
        <f>AND(#REF!,"AAAAAD/97/M=")</f>
        <v>#REF!</v>
      </c>
      <c r="IK43" t="e">
        <f>AND(#REF!,"AAAAAD/97/Q=")</f>
        <v>#REF!</v>
      </c>
      <c r="IL43" t="e">
        <f>AND(#REF!,"AAAAAD/97/U=")</f>
        <v>#REF!</v>
      </c>
      <c r="IM43" t="e">
        <f>AND(#REF!,"AAAAAD/97/Y=")</f>
        <v>#REF!</v>
      </c>
      <c r="IN43" t="e">
        <f>AND(#REF!,"AAAAAD/97/c=")</f>
        <v>#REF!</v>
      </c>
      <c r="IO43" t="e">
        <f>AND(#REF!,"AAAAAD/97/g=")</f>
        <v>#REF!</v>
      </c>
      <c r="IP43" t="e">
        <f>AND(#REF!,"AAAAAD/97/k=")</f>
        <v>#REF!</v>
      </c>
      <c r="IQ43" t="e">
        <f>AND(#REF!,"AAAAAD/97/o=")</f>
        <v>#REF!</v>
      </c>
      <c r="IR43" t="e">
        <f>AND(#REF!,"AAAAAD/97/s=")</f>
        <v>#REF!</v>
      </c>
      <c r="IS43" t="e">
        <f>AND(#REF!,"AAAAAD/97/w=")</f>
        <v>#REF!</v>
      </c>
      <c r="IT43" t="e">
        <f>IF(#REF!,"AAAAAD/97/0=",0)</f>
        <v>#REF!</v>
      </c>
      <c r="IU43" t="e">
        <f>AND(#REF!,"AAAAAD/97/4=")</f>
        <v>#REF!</v>
      </c>
      <c r="IV43" t="e">
        <f>AND(#REF!,"AAAAAD/97/8=")</f>
        <v>#REF!</v>
      </c>
    </row>
    <row r="44" spans="1:256" x14ac:dyDescent="0.25">
      <c r="A44" t="e">
        <f>AND(#REF!,"AAAAAHH3/wA=")</f>
        <v>#REF!</v>
      </c>
      <c r="B44" t="e">
        <f>AND(#REF!,"AAAAAHH3/wE=")</f>
        <v>#REF!</v>
      </c>
      <c r="C44" t="e">
        <f>AND(#REF!,"AAAAAHH3/wI=")</f>
        <v>#REF!</v>
      </c>
      <c r="D44" t="e">
        <f>AND(#REF!,"AAAAAHH3/wM=")</f>
        <v>#REF!</v>
      </c>
      <c r="E44" t="e">
        <f>AND(#REF!,"AAAAAHH3/wQ=")</f>
        <v>#REF!</v>
      </c>
      <c r="F44" t="e">
        <f>AND(#REF!,"AAAAAHH3/wU=")</f>
        <v>#REF!</v>
      </c>
      <c r="G44" t="e">
        <f>AND(#REF!,"AAAAAHH3/wY=")</f>
        <v>#REF!</v>
      </c>
      <c r="H44" t="e">
        <f>AND(#REF!,"AAAAAHH3/wc=")</f>
        <v>#REF!</v>
      </c>
      <c r="I44" t="e">
        <f>AND(#REF!,"AAAAAHH3/wg=")</f>
        <v>#REF!</v>
      </c>
      <c r="J44" t="e">
        <f>AND(#REF!,"AAAAAHH3/wk=")</f>
        <v>#REF!</v>
      </c>
      <c r="K44" t="e">
        <f>AND(#REF!,"AAAAAHH3/wo=")</f>
        <v>#REF!</v>
      </c>
      <c r="L44" t="e">
        <f>AND(#REF!,"AAAAAHH3/ws=")</f>
        <v>#REF!</v>
      </c>
      <c r="M44" t="e">
        <f>AND(#REF!,"AAAAAHH3/ww=")</f>
        <v>#REF!</v>
      </c>
      <c r="N44" t="e">
        <f>AND(#REF!,"AAAAAHH3/w0=")</f>
        <v>#REF!</v>
      </c>
      <c r="O44" t="e">
        <f>AND(#REF!,"AAAAAHH3/w4=")</f>
        <v>#REF!</v>
      </c>
      <c r="P44" t="e">
        <f>AND(#REF!,"AAAAAHH3/w8=")</f>
        <v>#REF!</v>
      </c>
      <c r="Q44" t="e">
        <f>AND(#REF!,"AAAAAHH3/xA=")</f>
        <v>#REF!</v>
      </c>
      <c r="R44" t="e">
        <f>AND(#REF!,"AAAAAHH3/xE=")</f>
        <v>#REF!</v>
      </c>
      <c r="S44" t="e">
        <f>IF(#REF!,"AAAAAHH3/xI=",0)</f>
        <v>#REF!</v>
      </c>
      <c r="T44" t="e">
        <f>AND(#REF!,"AAAAAHH3/xM=")</f>
        <v>#REF!</v>
      </c>
      <c r="U44" t="e">
        <f>AND(#REF!,"AAAAAHH3/xQ=")</f>
        <v>#REF!</v>
      </c>
      <c r="V44" t="e">
        <f>AND(#REF!,"AAAAAHH3/xU=")</f>
        <v>#REF!</v>
      </c>
      <c r="W44" t="e">
        <f>AND(#REF!,"AAAAAHH3/xY=")</f>
        <v>#REF!</v>
      </c>
      <c r="X44" t="e">
        <f>AND(#REF!,"AAAAAHH3/xc=")</f>
        <v>#REF!</v>
      </c>
      <c r="Y44" t="e">
        <f>AND(#REF!,"AAAAAHH3/xg=")</f>
        <v>#REF!</v>
      </c>
      <c r="Z44" t="e">
        <f>AND(#REF!,"AAAAAHH3/xk=")</f>
        <v>#REF!</v>
      </c>
      <c r="AA44" t="e">
        <f>AND(#REF!,"AAAAAHH3/xo=")</f>
        <v>#REF!</v>
      </c>
      <c r="AB44" t="e">
        <f>AND(#REF!,"AAAAAHH3/xs=")</f>
        <v>#REF!</v>
      </c>
      <c r="AC44" t="e">
        <f>AND(#REF!,"AAAAAHH3/xw=")</f>
        <v>#REF!</v>
      </c>
      <c r="AD44" t="e">
        <f>AND(#REF!,"AAAAAHH3/x0=")</f>
        <v>#REF!</v>
      </c>
      <c r="AE44" t="e">
        <f>AND(#REF!,"AAAAAHH3/x4=")</f>
        <v>#REF!</v>
      </c>
      <c r="AF44" t="e">
        <f>AND(#REF!,"AAAAAHH3/x8=")</f>
        <v>#REF!</v>
      </c>
      <c r="AG44" t="e">
        <f>AND(#REF!,"AAAAAHH3/yA=")</f>
        <v>#REF!</v>
      </c>
      <c r="AH44" t="e">
        <f>AND(#REF!,"AAAAAHH3/yE=")</f>
        <v>#REF!</v>
      </c>
      <c r="AI44" t="e">
        <f>AND(#REF!,"AAAAAHH3/yI=")</f>
        <v>#REF!</v>
      </c>
      <c r="AJ44" t="e">
        <f>AND(#REF!,"AAAAAHH3/yM=")</f>
        <v>#REF!</v>
      </c>
      <c r="AK44" t="e">
        <f>AND(#REF!,"AAAAAHH3/yQ=")</f>
        <v>#REF!</v>
      </c>
      <c r="AL44" t="e">
        <f>AND(#REF!,"AAAAAHH3/yU=")</f>
        <v>#REF!</v>
      </c>
      <c r="AM44" t="e">
        <f>AND(#REF!,"AAAAAHH3/yY=")</f>
        <v>#REF!</v>
      </c>
      <c r="AN44" t="e">
        <f>IF(#REF!,"AAAAAHH3/yc=",0)</f>
        <v>#REF!</v>
      </c>
      <c r="AO44" t="e">
        <f>AND(#REF!,"AAAAAHH3/yg=")</f>
        <v>#REF!</v>
      </c>
      <c r="AP44" t="e">
        <f>AND(#REF!,"AAAAAHH3/yk=")</f>
        <v>#REF!</v>
      </c>
      <c r="AQ44" t="e">
        <f>AND(#REF!,"AAAAAHH3/yo=")</f>
        <v>#REF!</v>
      </c>
      <c r="AR44" t="e">
        <f>AND(#REF!,"AAAAAHH3/ys=")</f>
        <v>#REF!</v>
      </c>
      <c r="AS44" t="e">
        <f>AND(#REF!,"AAAAAHH3/yw=")</f>
        <v>#REF!</v>
      </c>
      <c r="AT44" t="e">
        <f>AND(#REF!,"AAAAAHH3/y0=")</f>
        <v>#REF!</v>
      </c>
      <c r="AU44" t="e">
        <f>AND(#REF!,"AAAAAHH3/y4=")</f>
        <v>#REF!</v>
      </c>
      <c r="AV44" t="e">
        <f>AND(#REF!,"AAAAAHH3/y8=")</f>
        <v>#REF!</v>
      </c>
      <c r="AW44" t="e">
        <f>AND(#REF!,"AAAAAHH3/zA=")</f>
        <v>#REF!</v>
      </c>
      <c r="AX44" t="e">
        <f>AND(#REF!,"AAAAAHH3/zE=")</f>
        <v>#REF!</v>
      </c>
      <c r="AY44" t="e">
        <f>AND(#REF!,"AAAAAHH3/zI=")</f>
        <v>#REF!</v>
      </c>
      <c r="AZ44" t="e">
        <f>AND(#REF!,"AAAAAHH3/zM=")</f>
        <v>#REF!</v>
      </c>
      <c r="BA44" t="e">
        <f>AND(#REF!,"AAAAAHH3/zQ=")</f>
        <v>#REF!</v>
      </c>
      <c r="BB44" t="e">
        <f>AND(#REF!,"AAAAAHH3/zU=")</f>
        <v>#REF!</v>
      </c>
      <c r="BC44" t="e">
        <f>AND(#REF!,"AAAAAHH3/zY=")</f>
        <v>#REF!</v>
      </c>
      <c r="BD44" t="e">
        <f>AND(#REF!,"AAAAAHH3/zc=")</f>
        <v>#REF!</v>
      </c>
      <c r="BE44" t="e">
        <f>AND(#REF!,"AAAAAHH3/zg=")</f>
        <v>#REF!</v>
      </c>
      <c r="BF44" t="e">
        <f>AND(#REF!,"AAAAAHH3/zk=")</f>
        <v>#REF!</v>
      </c>
      <c r="BG44" t="e">
        <f>AND(#REF!,"AAAAAHH3/zo=")</f>
        <v>#REF!</v>
      </c>
      <c r="BH44" t="e">
        <f>AND(#REF!,"AAAAAHH3/zs=")</f>
        <v>#REF!</v>
      </c>
      <c r="BI44" t="e">
        <f>IF(#REF!,"AAAAAHH3/zw=",0)</f>
        <v>#REF!</v>
      </c>
      <c r="BJ44" t="e">
        <f>AND(#REF!,"AAAAAHH3/z0=")</f>
        <v>#REF!</v>
      </c>
      <c r="BK44" t="e">
        <f>AND(#REF!,"AAAAAHH3/z4=")</f>
        <v>#REF!</v>
      </c>
      <c r="BL44" t="e">
        <f>AND(#REF!,"AAAAAHH3/z8=")</f>
        <v>#REF!</v>
      </c>
      <c r="BM44" t="e">
        <f>AND(#REF!,"AAAAAHH3/0A=")</f>
        <v>#REF!</v>
      </c>
      <c r="BN44" t="e">
        <f>AND(#REF!,"AAAAAHH3/0E=")</f>
        <v>#REF!</v>
      </c>
      <c r="BO44" t="e">
        <f>AND(#REF!,"AAAAAHH3/0I=")</f>
        <v>#REF!</v>
      </c>
      <c r="BP44" t="e">
        <f>AND(#REF!,"AAAAAHH3/0M=")</f>
        <v>#REF!</v>
      </c>
      <c r="BQ44" t="e">
        <f>AND(#REF!,"AAAAAHH3/0Q=")</f>
        <v>#REF!</v>
      </c>
      <c r="BR44" t="e">
        <f>AND(#REF!,"AAAAAHH3/0U=")</f>
        <v>#REF!</v>
      </c>
      <c r="BS44" t="e">
        <f>AND(#REF!,"AAAAAHH3/0Y=")</f>
        <v>#REF!</v>
      </c>
      <c r="BT44" t="e">
        <f>AND(#REF!,"AAAAAHH3/0c=")</f>
        <v>#REF!</v>
      </c>
      <c r="BU44" t="e">
        <f>AND(#REF!,"AAAAAHH3/0g=")</f>
        <v>#REF!</v>
      </c>
      <c r="BV44" t="e">
        <f>AND(#REF!,"AAAAAHH3/0k=")</f>
        <v>#REF!</v>
      </c>
      <c r="BW44" t="e">
        <f>AND(#REF!,"AAAAAHH3/0o=")</f>
        <v>#REF!</v>
      </c>
      <c r="BX44" t="e">
        <f>AND(#REF!,"AAAAAHH3/0s=")</f>
        <v>#REF!</v>
      </c>
      <c r="BY44" t="e">
        <f>AND(#REF!,"AAAAAHH3/0w=")</f>
        <v>#REF!</v>
      </c>
      <c r="BZ44" t="e">
        <f>AND(#REF!,"AAAAAHH3/00=")</f>
        <v>#REF!</v>
      </c>
      <c r="CA44" t="e">
        <f>AND(#REF!,"AAAAAHH3/04=")</f>
        <v>#REF!</v>
      </c>
      <c r="CB44" t="e">
        <f>AND(#REF!,"AAAAAHH3/08=")</f>
        <v>#REF!</v>
      </c>
      <c r="CC44" t="e">
        <f>AND(#REF!,"AAAAAHH3/1A=")</f>
        <v>#REF!</v>
      </c>
      <c r="CD44" t="e">
        <f>IF(#REF!,"AAAAAHH3/1E=",0)</f>
        <v>#REF!</v>
      </c>
      <c r="CE44" t="e">
        <f>AND(#REF!,"AAAAAHH3/1I=")</f>
        <v>#REF!</v>
      </c>
      <c r="CF44" t="e">
        <f>AND(#REF!,"AAAAAHH3/1M=")</f>
        <v>#REF!</v>
      </c>
      <c r="CG44" t="e">
        <f>AND(#REF!,"AAAAAHH3/1Q=")</f>
        <v>#REF!</v>
      </c>
      <c r="CH44" t="e">
        <f>AND(#REF!,"AAAAAHH3/1U=")</f>
        <v>#REF!</v>
      </c>
      <c r="CI44" t="e">
        <f>AND(#REF!,"AAAAAHH3/1Y=")</f>
        <v>#REF!</v>
      </c>
      <c r="CJ44" t="e">
        <f>AND(#REF!,"AAAAAHH3/1c=")</f>
        <v>#REF!</v>
      </c>
      <c r="CK44" t="e">
        <f>AND(#REF!,"AAAAAHH3/1g=")</f>
        <v>#REF!</v>
      </c>
      <c r="CL44" t="e">
        <f>AND(#REF!,"AAAAAHH3/1k=")</f>
        <v>#REF!</v>
      </c>
      <c r="CM44" t="e">
        <f>AND(#REF!,"AAAAAHH3/1o=")</f>
        <v>#REF!</v>
      </c>
      <c r="CN44" t="e">
        <f>AND(#REF!,"AAAAAHH3/1s=")</f>
        <v>#REF!</v>
      </c>
      <c r="CO44" t="e">
        <f>AND(#REF!,"AAAAAHH3/1w=")</f>
        <v>#REF!</v>
      </c>
      <c r="CP44" t="e">
        <f>AND(#REF!,"AAAAAHH3/10=")</f>
        <v>#REF!</v>
      </c>
      <c r="CQ44" t="e">
        <f>AND(#REF!,"AAAAAHH3/14=")</f>
        <v>#REF!</v>
      </c>
      <c r="CR44" t="e">
        <f>AND(#REF!,"AAAAAHH3/18=")</f>
        <v>#REF!</v>
      </c>
      <c r="CS44" t="e">
        <f>AND(#REF!,"AAAAAHH3/2A=")</f>
        <v>#REF!</v>
      </c>
      <c r="CT44" t="e">
        <f>AND(#REF!,"AAAAAHH3/2E=")</f>
        <v>#REF!</v>
      </c>
      <c r="CU44" t="e">
        <f>AND(#REF!,"AAAAAHH3/2I=")</f>
        <v>#REF!</v>
      </c>
      <c r="CV44" t="e">
        <f>AND(#REF!,"AAAAAHH3/2M=")</f>
        <v>#REF!</v>
      </c>
      <c r="CW44" t="e">
        <f>AND(#REF!,"AAAAAHH3/2Q=")</f>
        <v>#REF!</v>
      </c>
      <c r="CX44" t="e">
        <f>AND(#REF!,"AAAAAHH3/2U=")</f>
        <v>#REF!</v>
      </c>
      <c r="CY44" t="e">
        <f>IF(#REF!,"AAAAAHH3/2Y=",0)</f>
        <v>#REF!</v>
      </c>
      <c r="CZ44" t="e">
        <f>AND(#REF!,"AAAAAHH3/2c=")</f>
        <v>#REF!</v>
      </c>
      <c r="DA44" t="e">
        <f>AND(#REF!,"AAAAAHH3/2g=")</f>
        <v>#REF!</v>
      </c>
      <c r="DB44" t="e">
        <f>AND(#REF!,"AAAAAHH3/2k=")</f>
        <v>#REF!</v>
      </c>
      <c r="DC44" t="e">
        <f>AND(#REF!,"AAAAAHH3/2o=")</f>
        <v>#REF!</v>
      </c>
      <c r="DD44" t="e">
        <f>AND(#REF!,"AAAAAHH3/2s=")</f>
        <v>#REF!</v>
      </c>
      <c r="DE44" t="e">
        <f>AND(#REF!,"AAAAAHH3/2w=")</f>
        <v>#REF!</v>
      </c>
      <c r="DF44" t="e">
        <f>AND(#REF!,"AAAAAHH3/20=")</f>
        <v>#REF!</v>
      </c>
      <c r="DG44" t="e">
        <f>AND(#REF!,"AAAAAHH3/24=")</f>
        <v>#REF!</v>
      </c>
      <c r="DH44" t="e">
        <f>AND(#REF!,"AAAAAHH3/28=")</f>
        <v>#REF!</v>
      </c>
      <c r="DI44" t="e">
        <f>AND(#REF!,"AAAAAHH3/3A=")</f>
        <v>#REF!</v>
      </c>
      <c r="DJ44" t="e">
        <f>AND(#REF!,"AAAAAHH3/3E=")</f>
        <v>#REF!</v>
      </c>
      <c r="DK44" t="e">
        <f>AND(#REF!,"AAAAAHH3/3I=")</f>
        <v>#REF!</v>
      </c>
      <c r="DL44" t="e">
        <f>AND(#REF!,"AAAAAHH3/3M=")</f>
        <v>#REF!</v>
      </c>
      <c r="DM44" t="e">
        <f>AND(#REF!,"AAAAAHH3/3Q=")</f>
        <v>#REF!</v>
      </c>
      <c r="DN44" t="e">
        <f>AND(#REF!,"AAAAAHH3/3U=")</f>
        <v>#REF!</v>
      </c>
      <c r="DO44" t="e">
        <f>AND(#REF!,"AAAAAHH3/3Y=")</f>
        <v>#REF!</v>
      </c>
      <c r="DP44" t="e">
        <f>AND(#REF!,"AAAAAHH3/3c=")</f>
        <v>#REF!</v>
      </c>
      <c r="DQ44" t="e">
        <f>AND(#REF!,"AAAAAHH3/3g=")</f>
        <v>#REF!</v>
      </c>
      <c r="DR44" t="e">
        <f>AND(#REF!,"AAAAAHH3/3k=")</f>
        <v>#REF!</v>
      </c>
      <c r="DS44" t="e">
        <f>AND(#REF!,"AAAAAHH3/3o=")</f>
        <v>#REF!</v>
      </c>
      <c r="DT44" t="e">
        <f>IF(#REF!,"AAAAAHH3/3s=",0)</f>
        <v>#REF!</v>
      </c>
      <c r="DU44" t="e">
        <f>AND(#REF!,"AAAAAHH3/3w=")</f>
        <v>#REF!</v>
      </c>
      <c r="DV44" t="e">
        <f>AND(#REF!,"AAAAAHH3/30=")</f>
        <v>#REF!</v>
      </c>
      <c r="DW44" t="e">
        <f>AND(#REF!,"AAAAAHH3/34=")</f>
        <v>#REF!</v>
      </c>
      <c r="DX44" t="e">
        <f>AND(#REF!,"AAAAAHH3/38=")</f>
        <v>#REF!</v>
      </c>
      <c r="DY44" t="e">
        <f>AND(#REF!,"AAAAAHH3/4A=")</f>
        <v>#REF!</v>
      </c>
      <c r="DZ44" t="e">
        <f>AND(#REF!,"AAAAAHH3/4E=")</f>
        <v>#REF!</v>
      </c>
      <c r="EA44" t="e">
        <f>AND(#REF!,"AAAAAHH3/4I=")</f>
        <v>#REF!</v>
      </c>
      <c r="EB44" t="e">
        <f>AND(#REF!,"AAAAAHH3/4M=")</f>
        <v>#REF!</v>
      </c>
      <c r="EC44" t="e">
        <f>AND(#REF!,"AAAAAHH3/4Q=")</f>
        <v>#REF!</v>
      </c>
      <c r="ED44" t="e">
        <f>AND(#REF!,"AAAAAHH3/4U=")</f>
        <v>#REF!</v>
      </c>
      <c r="EE44" t="e">
        <f>AND(#REF!,"AAAAAHH3/4Y=")</f>
        <v>#REF!</v>
      </c>
      <c r="EF44" t="e">
        <f>AND(#REF!,"AAAAAHH3/4c=")</f>
        <v>#REF!</v>
      </c>
      <c r="EG44" t="e">
        <f>AND(#REF!,"AAAAAHH3/4g=")</f>
        <v>#REF!</v>
      </c>
      <c r="EH44" t="e">
        <f>AND(#REF!,"AAAAAHH3/4k=")</f>
        <v>#REF!</v>
      </c>
      <c r="EI44" t="e">
        <f>AND(#REF!,"AAAAAHH3/4o=")</f>
        <v>#REF!</v>
      </c>
      <c r="EJ44" t="e">
        <f>AND(#REF!,"AAAAAHH3/4s=")</f>
        <v>#REF!</v>
      </c>
      <c r="EK44" t="e">
        <f>AND(#REF!,"AAAAAHH3/4w=")</f>
        <v>#REF!</v>
      </c>
      <c r="EL44" t="e">
        <f>AND(#REF!,"AAAAAHH3/40=")</f>
        <v>#REF!</v>
      </c>
      <c r="EM44" t="e">
        <f>AND(#REF!,"AAAAAHH3/44=")</f>
        <v>#REF!</v>
      </c>
      <c r="EN44" t="e">
        <f>AND(#REF!,"AAAAAHH3/48=")</f>
        <v>#REF!</v>
      </c>
      <c r="EO44" t="e">
        <f>IF(#REF!,"AAAAAHH3/5A=",0)</f>
        <v>#REF!</v>
      </c>
      <c r="EP44" t="e">
        <f>AND(#REF!,"AAAAAHH3/5E=")</f>
        <v>#REF!</v>
      </c>
      <c r="EQ44" t="e">
        <f>AND(#REF!,"AAAAAHH3/5I=")</f>
        <v>#REF!</v>
      </c>
      <c r="ER44" t="e">
        <f>AND(#REF!,"AAAAAHH3/5M=")</f>
        <v>#REF!</v>
      </c>
      <c r="ES44" t="e">
        <f>AND(#REF!,"AAAAAHH3/5Q=")</f>
        <v>#REF!</v>
      </c>
      <c r="ET44" t="e">
        <f>AND(#REF!,"AAAAAHH3/5U=")</f>
        <v>#REF!</v>
      </c>
      <c r="EU44" t="e">
        <f>AND(#REF!,"AAAAAHH3/5Y=")</f>
        <v>#REF!</v>
      </c>
      <c r="EV44" t="e">
        <f>AND(#REF!,"AAAAAHH3/5c=")</f>
        <v>#REF!</v>
      </c>
      <c r="EW44" t="e">
        <f>AND(#REF!,"AAAAAHH3/5g=")</f>
        <v>#REF!</v>
      </c>
      <c r="EX44" t="e">
        <f>AND(#REF!,"AAAAAHH3/5k=")</f>
        <v>#REF!</v>
      </c>
      <c r="EY44" t="e">
        <f>AND(#REF!,"AAAAAHH3/5o=")</f>
        <v>#REF!</v>
      </c>
      <c r="EZ44" t="e">
        <f>AND(#REF!,"AAAAAHH3/5s=")</f>
        <v>#REF!</v>
      </c>
      <c r="FA44" t="e">
        <f>AND(#REF!,"AAAAAHH3/5w=")</f>
        <v>#REF!</v>
      </c>
      <c r="FB44" t="e">
        <f>AND(#REF!,"AAAAAHH3/50=")</f>
        <v>#REF!</v>
      </c>
      <c r="FC44" t="e">
        <f>AND(#REF!,"AAAAAHH3/54=")</f>
        <v>#REF!</v>
      </c>
      <c r="FD44" t="e">
        <f>AND(#REF!,"AAAAAHH3/58=")</f>
        <v>#REF!</v>
      </c>
      <c r="FE44" t="e">
        <f>AND(#REF!,"AAAAAHH3/6A=")</f>
        <v>#REF!</v>
      </c>
      <c r="FF44" t="e">
        <f>AND(#REF!,"AAAAAHH3/6E=")</f>
        <v>#REF!</v>
      </c>
      <c r="FG44" t="e">
        <f>AND(#REF!,"AAAAAHH3/6I=")</f>
        <v>#REF!</v>
      </c>
      <c r="FH44" t="e">
        <f>AND(#REF!,"AAAAAHH3/6M=")</f>
        <v>#REF!</v>
      </c>
      <c r="FI44" t="e">
        <f>AND(#REF!,"AAAAAHH3/6Q=")</f>
        <v>#REF!</v>
      </c>
      <c r="FJ44" t="e">
        <f>IF(#REF!,"AAAAAHH3/6U=",0)</f>
        <v>#REF!</v>
      </c>
      <c r="FK44" t="e">
        <f>AND(#REF!,"AAAAAHH3/6Y=")</f>
        <v>#REF!</v>
      </c>
      <c r="FL44" t="e">
        <f>AND(#REF!,"AAAAAHH3/6c=")</f>
        <v>#REF!</v>
      </c>
      <c r="FM44" t="e">
        <f>AND(#REF!,"AAAAAHH3/6g=")</f>
        <v>#REF!</v>
      </c>
      <c r="FN44" t="e">
        <f>AND(#REF!,"AAAAAHH3/6k=")</f>
        <v>#REF!</v>
      </c>
      <c r="FO44" t="e">
        <f>AND(#REF!,"AAAAAHH3/6o=")</f>
        <v>#REF!</v>
      </c>
      <c r="FP44" t="e">
        <f>AND(#REF!,"AAAAAHH3/6s=")</f>
        <v>#REF!</v>
      </c>
      <c r="FQ44" t="e">
        <f>AND(#REF!,"AAAAAHH3/6w=")</f>
        <v>#REF!</v>
      </c>
      <c r="FR44" t="e">
        <f>AND(#REF!,"AAAAAHH3/60=")</f>
        <v>#REF!</v>
      </c>
      <c r="FS44" t="e">
        <f>AND(#REF!,"AAAAAHH3/64=")</f>
        <v>#REF!</v>
      </c>
      <c r="FT44" t="e">
        <f>AND(#REF!,"AAAAAHH3/68=")</f>
        <v>#REF!</v>
      </c>
      <c r="FU44" t="e">
        <f>AND(#REF!,"AAAAAHH3/7A=")</f>
        <v>#REF!</v>
      </c>
      <c r="FV44" t="e">
        <f>AND(#REF!,"AAAAAHH3/7E=")</f>
        <v>#REF!</v>
      </c>
      <c r="FW44" t="e">
        <f>AND(#REF!,"AAAAAHH3/7I=")</f>
        <v>#REF!</v>
      </c>
      <c r="FX44" t="e">
        <f>AND(#REF!,"AAAAAHH3/7M=")</f>
        <v>#REF!</v>
      </c>
      <c r="FY44" t="e">
        <f>AND(#REF!,"AAAAAHH3/7Q=")</f>
        <v>#REF!</v>
      </c>
      <c r="FZ44" t="e">
        <f>AND(#REF!,"AAAAAHH3/7U=")</f>
        <v>#REF!</v>
      </c>
      <c r="GA44" t="e">
        <f>AND(#REF!,"AAAAAHH3/7Y=")</f>
        <v>#REF!</v>
      </c>
      <c r="GB44" t="e">
        <f>AND(#REF!,"AAAAAHH3/7c=")</f>
        <v>#REF!</v>
      </c>
      <c r="GC44" t="e">
        <f>AND(#REF!,"AAAAAHH3/7g=")</f>
        <v>#REF!</v>
      </c>
      <c r="GD44" t="e">
        <f>AND(#REF!,"AAAAAHH3/7k=")</f>
        <v>#REF!</v>
      </c>
      <c r="GE44" t="e">
        <f>IF(#REF!,"AAAAAHH3/7o=",0)</f>
        <v>#REF!</v>
      </c>
      <c r="GF44" t="e">
        <f>AND(#REF!,"AAAAAHH3/7s=")</f>
        <v>#REF!</v>
      </c>
      <c r="GG44" t="e">
        <f>AND(#REF!,"AAAAAHH3/7w=")</f>
        <v>#REF!</v>
      </c>
      <c r="GH44" t="e">
        <f>AND(#REF!,"AAAAAHH3/70=")</f>
        <v>#REF!</v>
      </c>
      <c r="GI44" t="e">
        <f>AND(#REF!,"AAAAAHH3/74=")</f>
        <v>#REF!</v>
      </c>
      <c r="GJ44" t="e">
        <f>AND(#REF!,"AAAAAHH3/78=")</f>
        <v>#REF!</v>
      </c>
      <c r="GK44" t="e">
        <f>AND(#REF!,"AAAAAHH3/8A=")</f>
        <v>#REF!</v>
      </c>
      <c r="GL44" t="e">
        <f>AND(#REF!,"AAAAAHH3/8E=")</f>
        <v>#REF!</v>
      </c>
      <c r="GM44" t="e">
        <f>AND(#REF!,"AAAAAHH3/8I=")</f>
        <v>#REF!</v>
      </c>
      <c r="GN44" t="e">
        <f>AND(#REF!,"AAAAAHH3/8M=")</f>
        <v>#REF!</v>
      </c>
      <c r="GO44" t="e">
        <f>AND(#REF!,"AAAAAHH3/8Q=")</f>
        <v>#REF!</v>
      </c>
      <c r="GP44" t="e">
        <f>AND(#REF!,"AAAAAHH3/8U=")</f>
        <v>#REF!</v>
      </c>
      <c r="GQ44" t="e">
        <f>AND(#REF!,"AAAAAHH3/8Y=")</f>
        <v>#REF!</v>
      </c>
      <c r="GR44" t="e">
        <f>AND(#REF!,"AAAAAHH3/8c=")</f>
        <v>#REF!</v>
      </c>
      <c r="GS44" t="e">
        <f>AND(#REF!,"AAAAAHH3/8g=")</f>
        <v>#REF!</v>
      </c>
      <c r="GT44" t="e">
        <f>AND(#REF!,"AAAAAHH3/8k=")</f>
        <v>#REF!</v>
      </c>
      <c r="GU44" t="e">
        <f>AND(#REF!,"AAAAAHH3/8o=")</f>
        <v>#REF!</v>
      </c>
      <c r="GV44" t="e">
        <f>AND(#REF!,"AAAAAHH3/8s=")</f>
        <v>#REF!</v>
      </c>
      <c r="GW44" t="e">
        <f>AND(#REF!,"AAAAAHH3/8w=")</f>
        <v>#REF!</v>
      </c>
      <c r="GX44" t="e">
        <f>AND(#REF!,"AAAAAHH3/80=")</f>
        <v>#REF!</v>
      </c>
      <c r="GY44" t="e">
        <f>AND(#REF!,"AAAAAHH3/84=")</f>
        <v>#REF!</v>
      </c>
      <c r="GZ44" t="e">
        <f>IF(#REF!,"AAAAAHH3/88=",0)</f>
        <v>#REF!</v>
      </c>
      <c r="HA44" t="e">
        <f>AND(#REF!,"AAAAAHH3/9A=")</f>
        <v>#REF!</v>
      </c>
      <c r="HB44" t="e">
        <f>AND(#REF!,"AAAAAHH3/9E=")</f>
        <v>#REF!</v>
      </c>
      <c r="HC44" t="e">
        <f>AND(#REF!,"AAAAAHH3/9I=")</f>
        <v>#REF!</v>
      </c>
      <c r="HD44" t="e">
        <f>AND(#REF!,"AAAAAHH3/9M=")</f>
        <v>#REF!</v>
      </c>
      <c r="HE44" t="e">
        <f>AND(#REF!,"AAAAAHH3/9Q=")</f>
        <v>#REF!</v>
      </c>
      <c r="HF44" t="e">
        <f>AND(#REF!,"AAAAAHH3/9U=")</f>
        <v>#REF!</v>
      </c>
      <c r="HG44" t="e">
        <f>AND(#REF!,"AAAAAHH3/9Y=")</f>
        <v>#REF!</v>
      </c>
      <c r="HH44" t="e">
        <f>AND(#REF!,"AAAAAHH3/9c=")</f>
        <v>#REF!</v>
      </c>
      <c r="HI44" t="e">
        <f>AND(#REF!,"AAAAAHH3/9g=")</f>
        <v>#REF!</v>
      </c>
      <c r="HJ44" t="e">
        <f>AND(#REF!,"AAAAAHH3/9k=")</f>
        <v>#REF!</v>
      </c>
      <c r="HK44" t="e">
        <f>AND(#REF!,"AAAAAHH3/9o=")</f>
        <v>#REF!</v>
      </c>
      <c r="HL44" t="e">
        <f>AND(#REF!,"AAAAAHH3/9s=")</f>
        <v>#REF!</v>
      </c>
      <c r="HM44" t="e">
        <f>AND(#REF!,"AAAAAHH3/9w=")</f>
        <v>#REF!</v>
      </c>
      <c r="HN44" t="e">
        <f>AND(#REF!,"AAAAAHH3/90=")</f>
        <v>#REF!</v>
      </c>
      <c r="HO44" t="e">
        <f>AND(#REF!,"AAAAAHH3/94=")</f>
        <v>#REF!</v>
      </c>
      <c r="HP44" t="e">
        <f>AND(#REF!,"AAAAAHH3/98=")</f>
        <v>#REF!</v>
      </c>
      <c r="HQ44" t="e">
        <f>AND(#REF!,"AAAAAHH3/+A=")</f>
        <v>#REF!</v>
      </c>
      <c r="HR44" t="e">
        <f>AND(#REF!,"AAAAAHH3/+E=")</f>
        <v>#REF!</v>
      </c>
      <c r="HS44" t="e">
        <f>AND(#REF!,"AAAAAHH3/+I=")</f>
        <v>#REF!</v>
      </c>
      <c r="HT44" t="e">
        <f>AND(#REF!,"AAAAAHH3/+M=")</f>
        <v>#REF!</v>
      </c>
      <c r="HU44" t="e">
        <f>IF(#REF!,"AAAAAHH3/+Q=",0)</f>
        <v>#REF!</v>
      </c>
      <c r="HV44" t="e">
        <f>IF(#REF!,"AAAAAHH3/+U=",0)</f>
        <v>#REF!</v>
      </c>
      <c r="HW44" t="e">
        <f>IF(#REF!,"AAAAAHH3/+Y=",0)</f>
        <v>#REF!</v>
      </c>
      <c r="HX44" t="e">
        <f>IF(#REF!,"AAAAAHH3/+c=",0)</f>
        <v>#REF!</v>
      </c>
      <c r="HY44" t="e">
        <f>IF(#REF!,"AAAAAHH3/+g=",0)</f>
        <v>#REF!</v>
      </c>
      <c r="HZ44" t="e">
        <f>IF(#REF!,"AAAAAHH3/+k=",0)</f>
        <v>#REF!</v>
      </c>
      <c r="IA44" t="e">
        <f>IF(#REF!,"AAAAAHH3/+o=",0)</f>
        <v>#REF!</v>
      </c>
      <c r="IB44" t="e">
        <f>IF(#REF!,"AAAAAHH3/+s=",0)</f>
        <v>#REF!</v>
      </c>
      <c r="IC44" t="e">
        <f>IF(#REF!,"AAAAAHH3/+w=",0)</f>
        <v>#REF!</v>
      </c>
      <c r="ID44" t="e">
        <f>IF(#REF!,"AAAAAHH3/+0=",0)</f>
        <v>#REF!</v>
      </c>
      <c r="IE44" t="e">
        <f>IF(#REF!,"AAAAAHH3/+4=",0)</f>
        <v>#REF!</v>
      </c>
      <c r="IF44" t="e">
        <f>IF(#REF!,"AAAAAHH3/+8=",0)</f>
        <v>#REF!</v>
      </c>
      <c r="IG44" t="e">
        <f>IF(#REF!,"AAAAAHH3//A=",0)</f>
        <v>#REF!</v>
      </c>
      <c r="IH44" t="e">
        <f>IF(#REF!,"AAAAAHH3//E=",0)</f>
        <v>#REF!</v>
      </c>
      <c r="II44" t="e">
        <f>IF(#REF!,"AAAAAHH3//I=",0)</f>
        <v>#REF!</v>
      </c>
      <c r="IJ44" t="e">
        <f>IF(#REF!,"AAAAAHH3//M=",0)</f>
        <v>#REF!</v>
      </c>
      <c r="IK44" t="e">
        <f>IF(#REF!,"AAAAAHH3//Q=",0)</f>
        <v>#REF!</v>
      </c>
      <c r="IL44" t="e">
        <f>IF(#REF!,"AAAAAHH3//U=",0)</f>
        <v>#REF!</v>
      </c>
      <c r="IM44" t="e">
        <f>IF(#REF!,"AAAAAHH3//Y=",0)</f>
        <v>#REF!</v>
      </c>
      <c r="IN44" t="e">
        <f>IF(#REF!,"AAAAAHH3//c=",0)</f>
        <v>#REF!</v>
      </c>
      <c r="IO44">
        <f>IF('5A'!1:1,"AAAAAHH3//g=",0)</f>
        <v>0</v>
      </c>
      <c r="IP44" t="e">
        <f>AND('5A'!#REF!,"AAAAAHH3//k=")</f>
        <v>#REF!</v>
      </c>
      <c r="IQ44" t="e">
        <f>AND('5A'!A1,"AAAAAHH3//o=")</f>
        <v>#VALUE!</v>
      </c>
      <c r="IR44" t="e">
        <f>AND('5A'!B1,"AAAAAHH3//s=")</f>
        <v>#VALUE!</v>
      </c>
      <c r="IS44" t="e">
        <f>AND('5A'!C1,"AAAAAHH3//w=")</f>
        <v>#VALUE!</v>
      </c>
      <c r="IT44" t="e">
        <f>AND('5A'!D1,"AAAAAHH3//0=")</f>
        <v>#VALUE!</v>
      </c>
      <c r="IU44" t="e">
        <f>AND('5A'!E1,"AAAAAHH3//4=")</f>
        <v>#VALUE!</v>
      </c>
      <c r="IV44" t="e">
        <f>AND('5A'!F1,"AAAAAHH3//8=")</f>
        <v>#VALUE!</v>
      </c>
    </row>
    <row r="45" spans="1:256" x14ac:dyDescent="0.25">
      <c r="A45" t="e">
        <f>AND('5A'!G1,"AAAAAHbt7AA=")</f>
        <v>#VALUE!</v>
      </c>
      <c r="B45" t="e">
        <f>AND('5A'!H1,"AAAAAHbt7AE=")</f>
        <v>#VALUE!</v>
      </c>
      <c r="C45" t="e">
        <f>AND('5A'!#REF!,"AAAAAHbt7AI=")</f>
        <v>#REF!</v>
      </c>
      <c r="D45" t="e">
        <f>AND('5A'!#REF!,"AAAAAHbt7AM=")</f>
        <v>#REF!</v>
      </c>
      <c r="E45" t="e">
        <f>AND('5A'!#REF!,"AAAAAHbt7AQ=")</f>
        <v>#REF!</v>
      </c>
      <c r="F45" t="e">
        <f>AND('5A'!#REF!,"AAAAAHbt7AU=")</f>
        <v>#REF!</v>
      </c>
      <c r="G45" t="e">
        <f>AND('5A'!I1,"AAAAAHbt7AY=")</f>
        <v>#VALUE!</v>
      </c>
      <c r="H45" t="e">
        <f>AND('5A'!#REF!,"AAAAAHbt7Ac=")</f>
        <v>#REF!</v>
      </c>
      <c r="I45" t="e">
        <f>AND('5A'!#REF!,"AAAAAHbt7Ag=")</f>
        <v>#REF!</v>
      </c>
      <c r="J45">
        <f>IF('5A'!2:2,"AAAAAHbt7Ak=",0)</f>
        <v>0</v>
      </c>
      <c r="K45" t="e">
        <f>AND('5A'!#REF!,"AAAAAHbt7Ao=")</f>
        <v>#REF!</v>
      </c>
      <c r="L45" t="e">
        <f>AND('5A'!A2,"AAAAAHbt7As=")</f>
        <v>#VALUE!</v>
      </c>
      <c r="M45" t="e">
        <f>AND('5A'!B2,"AAAAAHbt7Aw=")</f>
        <v>#VALUE!</v>
      </c>
      <c r="N45" t="e">
        <f>AND('5A'!C2,"AAAAAHbt7A0=")</f>
        <v>#VALUE!</v>
      </c>
      <c r="O45" t="e">
        <f>AND('5A'!D2,"AAAAAHbt7A4=")</f>
        <v>#VALUE!</v>
      </c>
      <c r="P45" t="e">
        <f>AND('5A'!E2,"AAAAAHbt7A8=")</f>
        <v>#VALUE!</v>
      </c>
      <c r="Q45" t="e">
        <f>AND('5A'!F2,"AAAAAHbt7BA=")</f>
        <v>#VALUE!</v>
      </c>
      <c r="R45" t="e">
        <f>AND('5A'!G2,"AAAAAHbt7BE=")</f>
        <v>#VALUE!</v>
      </c>
      <c r="S45" t="e">
        <f>AND('5A'!H2,"AAAAAHbt7BI=")</f>
        <v>#VALUE!</v>
      </c>
      <c r="T45" t="e">
        <f>AND('5A'!#REF!,"AAAAAHbt7BM=")</f>
        <v>#REF!</v>
      </c>
      <c r="U45" t="e">
        <f>AND('5A'!#REF!,"AAAAAHbt7BQ=")</f>
        <v>#REF!</v>
      </c>
      <c r="V45" t="e">
        <f>AND('5A'!#REF!,"AAAAAHbt7BU=")</f>
        <v>#REF!</v>
      </c>
      <c r="W45" t="e">
        <f>AND('5A'!#REF!,"AAAAAHbt7BY=")</f>
        <v>#REF!</v>
      </c>
      <c r="X45" t="e">
        <f>AND('5A'!I2,"AAAAAHbt7Bc=")</f>
        <v>#VALUE!</v>
      </c>
      <c r="Y45" t="e">
        <f>AND('5A'!#REF!,"AAAAAHbt7Bg=")</f>
        <v>#REF!</v>
      </c>
      <c r="Z45" t="e">
        <f>AND('5A'!#REF!,"AAAAAHbt7Bk=")</f>
        <v>#REF!</v>
      </c>
      <c r="AA45">
        <f>IF('5A'!3:3,"AAAAAHbt7Bo=",0)</f>
        <v>0</v>
      </c>
      <c r="AB45" t="e">
        <f>AND('5A'!#REF!,"AAAAAHbt7Bs=")</f>
        <v>#REF!</v>
      </c>
      <c r="AC45" t="e">
        <f>AND('5A'!A3,"AAAAAHbt7Bw=")</f>
        <v>#VALUE!</v>
      </c>
      <c r="AD45" t="e">
        <f>AND('5A'!B3,"AAAAAHbt7B0=")</f>
        <v>#VALUE!</v>
      </c>
      <c r="AE45" t="e">
        <f>AND('5A'!C3,"AAAAAHbt7B4=")</f>
        <v>#VALUE!</v>
      </c>
      <c r="AF45" t="e">
        <f>AND('5A'!D3,"AAAAAHbt7B8=")</f>
        <v>#VALUE!</v>
      </c>
      <c r="AG45" t="e">
        <f>AND('5A'!E3,"AAAAAHbt7CA=")</f>
        <v>#VALUE!</v>
      </c>
      <c r="AH45" t="e">
        <f>AND('5A'!F3,"AAAAAHbt7CE=")</f>
        <v>#VALUE!</v>
      </c>
      <c r="AI45" t="e">
        <f>AND('5A'!G3,"AAAAAHbt7CI=")</f>
        <v>#VALUE!</v>
      </c>
      <c r="AJ45" t="e">
        <f>AND('5A'!H3,"AAAAAHbt7CM=")</f>
        <v>#VALUE!</v>
      </c>
      <c r="AK45" t="e">
        <f>AND('5A'!#REF!,"AAAAAHbt7CQ=")</f>
        <v>#REF!</v>
      </c>
      <c r="AL45" t="e">
        <f>AND('5A'!#REF!,"AAAAAHbt7CU=")</f>
        <v>#REF!</v>
      </c>
      <c r="AM45" t="e">
        <f>AND('5A'!#REF!,"AAAAAHbt7CY=")</f>
        <v>#REF!</v>
      </c>
      <c r="AN45" t="e">
        <f>AND('5A'!#REF!,"AAAAAHbt7Cc=")</f>
        <v>#REF!</v>
      </c>
      <c r="AO45" t="e">
        <f>AND('5A'!I3,"AAAAAHbt7Cg=")</f>
        <v>#VALUE!</v>
      </c>
      <c r="AP45" t="e">
        <f>AND('5A'!#REF!,"AAAAAHbt7Ck=")</f>
        <v>#REF!</v>
      </c>
      <c r="AQ45" t="e">
        <f>AND('5A'!#REF!,"AAAAAHbt7Co=")</f>
        <v>#REF!</v>
      </c>
      <c r="AR45">
        <f>IF('5A'!4:4,"AAAAAHbt7Cs=",0)</f>
        <v>0</v>
      </c>
      <c r="AS45" t="e">
        <f>AND('5A'!#REF!,"AAAAAHbt7Cw=")</f>
        <v>#REF!</v>
      </c>
      <c r="AT45" t="e">
        <f>AND('5A'!A4,"AAAAAHbt7C0=")</f>
        <v>#VALUE!</v>
      </c>
      <c r="AU45" t="e">
        <f>AND('5A'!B4,"AAAAAHbt7C4=")</f>
        <v>#VALUE!</v>
      </c>
      <c r="AV45" t="e">
        <f>AND('5A'!C4,"AAAAAHbt7C8=")</f>
        <v>#VALUE!</v>
      </c>
      <c r="AW45" t="e">
        <f>AND('5A'!D4,"AAAAAHbt7DA=")</f>
        <v>#VALUE!</v>
      </c>
      <c r="AX45" t="e">
        <f>AND('5A'!E4,"AAAAAHbt7DE=")</f>
        <v>#VALUE!</v>
      </c>
      <c r="AY45" t="e">
        <f>AND('5A'!F4,"AAAAAHbt7DI=")</f>
        <v>#VALUE!</v>
      </c>
      <c r="AZ45" t="e">
        <f>AND('5A'!G4,"AAAAAHbt7DM=")</f>
        <v>#VALUE!</v>
      </c>
      <c r="BA45" t="e">
        <f>AND('5A'!H4,"AAAAAHbt7DQ=")</f>
        <v>#VALUE!</v>
      </c>
      <c r="BB45" t="e">
        <f>AND('5A'!#REF!,"AAAAAHbt7DU=")</f>
        <v>#REF!</v>
      </c>
      <c r="BC45" t="e">
        <f>AND('5A'!#REF!,"AAAAAHbt7DY=")</f>
        <v>#REF!</v>
      </c>
      <c r="BD45" t="e">
        <f>AND('5A'!#REF!,"AAAAAHbt7Dc=")</f>
        <v>#REF!</v>
      </c>
      <c r="BE45" t="e">
        <f>AND('5A'!#REF!,"AAAAAHbt7Dg=")</f>
        <v>#REF!</v>
      </c>
      <c r="BF45" t="e">
        <f>AND('5A'!I4,"AAAAAHbt7Dk=")</f>
        <v>#VALUE!</v>
      </c>
      <c r="BG45" t="e">
        <f>AND('5A'!#REF!,"AAAAAHbt7Do=")</f>
        <v>#REF!</v>
      </c>
      <c r="BH45" t="e">
        <f>AND('5A'!#REF!,"AAAAAHbt7Ds=")</f>
        <v>#REF!</v>
      </c>
      <c r="BI45">
        <f>IF('5A'!5:5,"AAAAAHbt7Dw=",0)</f>
        <v>0</v>
      </c>
      <c r="BJ45" t="e">
        <f>AND('5A'!#REF!,"AAAAAHbt7D0=")</f>
        <v>#REF!</v>
      </c>
      <c r="BK45" t="e">
        <f>AND('5A'!A5,"AAAAAHbt7D4=")</f>
        <v>#VALUE!</v>
      </c>
      <c r="BL45" t="e">
        <f>AND('5A'!B5,"AAAAAHbt7D8=")</f>
        <v>#VALUE!</v>
      </c>
      <c r="BM45" t="e">
        <f>AND('5A'!C5,"AAAAAHbt7EA=")</f>
        <v>#VALUE!</v>
      </c>
      <c r="BN45" t="e">
        <f>AND('5A'!D5,"AAAAAHbt7EE=")</f>
        <v>#VALUE!</v>
      </c>
      <c r="BO45" t="e">
        <f>AND('5A'!E5,"AAAAAHbt7EI=")</f>
        <v>#VALUE!</v>
      </c>
      <c r="BP45" t="e">
        <f>AND('5A'!F5,"AAAAAHbt7EM=")</f>
        <v>#VALUE!</v>
      </c>
      <c r="BQ45" t="e">
        <f>AND('5A'!G5,"AAAAAHbt7EQ=")</f>
        <v>#VALUE!</v>
      </c>
      <c r="BR45" t="e">
        <f>AND('5A'!H5,"AAAAAHbt7EU=")</f>
        <v>#VALUE!</v>
      </c>
      <c r="BS45" t="e">
        <f>AND('5A'!#REF!,"AAAAAHbt7EY=")</f>
        <v>#REF!</v>
      </c>
      <c r="BT45" t="e">
        <f>AND('5A'!#REF!,"AAAAAHbt7Ec=")</f>
        <v>#REF!</v>
      </c>
      <c r="BU45" t="e">
        <f>AND('5A'!#REF!,"AAAAAHbt7Eg=")</f>
        <v>#REF!</v>
      </c>
      <c r="BV45" t="e">
        <f>AND('5A'!#REF!,"AAAAAHbt7Ek=")</f>
        <v>#REF!</v>
      </c>
      <c r="BW45" t="e">
        <f>AND('5A'!I5,"AAAAAHbt7Eo=")</f>
        <v>#VALUE!</v>
      </c>
      <c r="BX45" t="e">
        <f>AND('5A'!#REF!,"AAAAAHbt7Es=")</f>
        <v>#REF!</v>
      </c>
      <c r="BY45" t="e">
        <f>AND('5A'!#REF!,"AAAAAHbt7Ew=")</f>
        <v>#REF!</v>
      </c>
      <c r="BZ45">
        <f>IF('5A'!6:6,"AAAAAHbt7E0=",0)</f>
        <v>0</v>
      </c>
      <c r="CA45" t="e">
        <f>AND('5A'!#REF!,"AAAAAHbt7E4=")</f>
        <v>#REF!</v>
      </c>
      <c r="CB45" t="e">
        <f>AND('5A'!A6,"AAAAAHbt7E8=")</f>
        <v>#VALUE!</v>
      </c>
      <c r="CC45" t="e">
        <f>AND('5A'!B6,"AAAAAHbt7FA=")</f>
        <v>#VALUE!</v>
      </c>
      <c r="CD45" t="e">
        <f>AND('5A'!C6,"AAAAAHbt7FE=")</f>
        <v>#VALUE!</v>
      </c>
      <c r="CE45" t="e">
        <f>AND('5A'!D6,"AAAAAHbt7FI=")</f>
        <v>#VALUE!</v>
      </c>
      <c r="CF45" t="e">
        <f>AND('5A'!E6,"AAAAAHbt7FM=")</f>
        <v>#VALUE!</v>
      </c>
      <c r="CG45" t="e">
        <f>AND('5A'!F6,"AAAAAHbt7FQ=")</f>
        <v>#VALUE!</v>
      </c>
      <c r="CH45" t="e">
        <f>AND('5A'!G6,"AAAAAHbt7FU=")</f>
        <v>#VALUE!</v>
      </c>
      <c r="CI45" t="e">
        <f>AND('5A'!H6,"AAAAAHbt7FY=")</f>
        <v>#VALUE!</v>
      </c>
      <c r="CJ45" t="e">
        <f>AND('5A'!#REF!,"AAAAAHbt7Fc=")</f>
        <v>#REF!</v>
      </c>
      <c r="CK45" t="e">
        <f>AND('5A'!#REF!,"AAAAAHbt7Fg=")</f>
        <v>#REF!</v>
      </c>
      <c r="CL45" t="e">
        <f>AND('5A'!#REF!,"AAAAAHbt7Fk=")</f>
        <v>#REF!</v>
      </c>
      <c r="CM45" t="e">
        <f>AND('5A'!#REF!,"AAAAAHbt7Fo=")</f>
        <v>#REF!</v>
      </c>
      <c r="CN45" t="e">
        <f>AND('5A'!I6,"AAAAAHbt7Fs=")</f>
        <v>#VALUE!</v>
      </c>
      <c r="CO45" t="e">
        <f>AND('5A'!#REF!,"AAAAAHbt7Fw=")</f>
        <v>#REF!</v>
      </c>
      <c r="CP45" t="e">
        <f>AND('5A'!#REF!,"AAAAAHbt7F0=")</f>
        <v>#REF!</v>
      </c>
      <c r="CQ45">
        <f>IF('5A'!7:7,"AAAAAHbt7F4=",0)</f>
        <v>0</v>
      </c>
      <c r="CR45" t="e">
        <f>AND('5A'!#REF!,"AAAAAHbt7F8=")</f>
        <v>#REF!</v>
      </c>
      <c r="CS45" t="e">
        <f>AND('5A'!A7,"AAAAAHbt7GA=")</f>
        <v>#VALUE!</v>
      </c>
      <c r="CT45" t="e">
        <f>AND('5A'!B7,"AAAAAHbt7GE=")</f>
        <v>#VALUE!</v>
      </c>
      <c r="CU45" t="e">
        <f>AND('5A'!C7,"AAAAAHbt7GI=")</f>
        <v>#VALUE!</v>
      </c>
      <c r="CV45" t="e">
        <f>AND('5A'!D7,"AAAAAHbt7GM=")</f>
        <v>#VALUE!</v>
      </c>
      <c r="CW45" t="e">
        <f>AND('5A'!E7,"AAAAAHbt7GQ=")</f>
        <v>#VALUE!</v>
      </c>
      <c r="CX45" t="e">
        <f>AND('5A'!F7,"AAAAAHbt7GU=")</f>
        <v>#VALUE!</v>
      </c>
      <c r="CY45" t="e">
        <f>AND('5A'!G7,"AAAAAHbt7GY=")</f>
        <v>#VALUE!</v>
      </c>
      <c r="CZ45" t="e">
        <f>AND('5A'!H7,"AAAAAHbt7Gc=")</f>
        <v>#VALUE!</v>
      </c>
      <c r="DA45" t="e">
        <f>AND('5A'!#REF!,"AAAAAHbt7Gg=")</f>
        <v>#REF!</v>
      </c>
      <c r="DB45" t="e">
        <f>AND('5A'!#REF!,"AAAAAHbt7Gk=")</f>
        <v>#REF!</v>
      </c>
      <c r="DC45" t="e">
        <f>AND('5A'!#REF!,"AAAAAHbt7Go=")</f>
        <v>#REF!</v>
      </c>
      <c r="DD45" t="e">
        <f>AND('5A'!#REF!,"AAAAAHbt7Gs=")</f>
        <v>#REF!</v>
      </c>
      <c r="DE45" t="e">
        <f>AND('5A'!I7,"AAAAAHbt7Gw=")</f>
        <v>#VALUE!</v>
      </c>
      <c r="DF45" t="e">
        <f>AND('5A'!#REF!,"AAAAAHbt7G0=")</f>
        <v>#REF!</v>
      </c>
      <c r="DG45" t="e">
        <f>AND('5A'!#REF!,"AAAAAHbt7G4=")</f>
        <v>#REF!</v>
      </c>
      <c r="DH45">
        <f>IF('5A'!8:8,"AAAAAHbt7G8=",0)</f>
        <v>0</v>
      </c>
      <c r="DI45" t="e">
        <f>AND('5A'!#REF!,"AAAAAHbt7HA=")</f>
        <v>#REF!</v>
      </c>
      <c r="DJ45" t="e">
        <f>AND('5A'!A8,"AAAAAHbt7HE=")</f>
        <v>#VALUE!</v>
      </c>
      <c r="DK45" t="e">
        <f>AND('5A'!B8,"AAAAAHbt7HI=")</f>
        <v>#VALUE!</v>
      </c>
      <c r="DL45" t="e">
        <f>AND('5A'!C8,"AAAAAHbt7HM=")</f>
        <v>#VALUE!</v>
      </c>
      <c r="DM45" t="e">
        <f>AND('5A'!D8,"AAAAAHbt7HQ=")</f>
        <v>#VALUE!</v>
      </c>
      <c r="DN45" t="e">
        <f>AND('5A'!E8,"AAAAAHbt7HU=")</f>
        <v>#VALUE!</v>
      </c>
      <c r="DO45" t="e">
        <f>AND('5A'!F8,"AAAAAHbt7HY=")</f>
        <v>#VALUE!</v>
      </c>
      <c r="DP45" t="e">
        <f>AND('5A'!G8,"AAAAAHbt7Hc=")</f>
        <v>#VALUE!</v>
      </c>
      <c r="DQ45" t="e">
        <f>AND('5A'!H8,"AAAAAHbt7Hg=")</f>
        <v>#VALUE!</v>
      </c>
      <c r="DR45" t="e">
        <f>AND('5A'!#REF!,"AAAAAHbt7Hk=")</f>
        <v>#REF!</v>
      </c>
      <c r="DS45" t="e">
        <f>AND('5A'!#REF!,"AAAAAHbt7Ho=")</f>
        <v>#REF!</v>
      </c>
      <c r="DT45" t="e">
        <f>AND('5A'!#REF!,"AAAAAHbt7Hs=")</f>
        <v>#REF!</v>
      </c>
      <c r="DU45" t="e">
        <f>AND('5A'!#REF!,"AAAAAHbt7Hw=")</f>
        <v>#REF!</v>
      </c>
      <c r="DV45" t="e">
        <f>AND('5A'!I8,"AAAAAHbt7H0=")</f>
        <v>#VALUE!</v>
      </c>
      <c r="DW45" t="e">
        <f>AND('5A'!#REF!,"AAAAAHbt7H4=")</f>
        <v>#REF!</v>
      </c>
      <c r="DX45" t="e">
        <f>AND('5A'!#REF!,"AAAAAHbt7H8=")</f>
        <v>#REF!</v>
      </c>
      <c r="DY45">
        <f>IF('5A'!9:9,"AAAAAHbt7IA=",0)</f>
        <v>0</v>
      </c>
      <c r="DZ45" t="e">
        <f>AND('5A'!#REF!,"AAAAAHbt7IE=")</f>
        <v>#REF!</v>
      </c>
      <c r="EA45" t="e">
        <f>AND('5A'!A9,"AAAAAHbt7II=")</f>
        <v>#VALUE!</v>
      </c>
      <c r="EB45" t="e">
        <f>AND('5A'!B9,"AAAAAHbt7IM=")</f>
        <v>#VALUE!</v>
      </c>
      <c r="EC45" t="e">
        <f>AND('5A'!C9,"AAAAAHbt7IQ=")</f>
        <v>#VALUE!</v>
      </c>
      <c r="ED45" t="e">
        <f>AND('5A'!D9,"AAAAAHbt7IU=")</f>
        <v>#VALUE!</v>
      </c>
      <c r="EE45" t="e">
        <f>AND('5A'!E9,"AAAAAHbt7IY=")</f>
        <v>#VALUE!</v>
      </c>
      <c r="EF45" t="e">
        <f>AND('5A'!F9,"AAAAAHbt7Ic=")</f>
        <v>#VALUE!</v>
      </c>
      <c r="EG45" t="e">
        <f>AND('5A'!G9,"AAAAAHbt7Ig=")</f>
        <v>#VALUE!</v>
      </c>
      <c r="EH45" t="e">
        <f>AND('5A'!H9,"AAAAAHbt7Ik=")</f>
        <v>#VALUE!</v>
      </c>
      <c r="EI45" t="e">
        <f>AND('5A'!#REF!,"AAAAAHbt7Io=")</f>
        <v>#REF!</v>
      </c>
      <c r="EJ45" t="e">
        <f>AND('5A'!#REF!,"AAAAAHbt7Is=")</f>
        <v>#REF!</v>
      </c>
      <c r="EK45" t="e">
        <f>AND('5A'!#REF!,"AAAAAHbt7Iw=")</f>
        <v>#REF!</v>
      </c>
      <c r="EL45" t="e">
        <f>AND('5A'!#REF!,"AAAAAHbt7I0=")</f>
        <v>#REF!</v>
      </c>
      <c r="EM45" t="e">
        <f>AND('5A'!I9,"AAAAAHbt7I4=")</f>
        <v>#VALUE!</v>
      </c>
      <c r="EN45" t="e">
        <f>AND('5A'!#REF!,"AAAAAHbt7I8=")</f>
        <v>#REF!</v>
      </c>
      <c r="EO45" t="e">
        <f>AND('5A'!#REF!,"AAAAAHbt7JA=")</f>
        <v>#REF!</v>
      </c>
      <c r="EP45">
        <f>IF('5A'!10:10,"AAAAAHbt7JE=",0)</f>
        <v>0</v>
      </c>
      <c r="EQ45" t="e">
        <f>AND('5A'!#REF!,"AAAAAHbt7JI=")</f>
        <v>#REF!</v>
      </c>
      <c r="ER45" t="e">
        <f>AND('5A'!A10,"AAAAAHbt7JM=")</f>
        <v>#VALUE!</v>
      </c>
      <c r="ES45" t="e">
        <f>AND('5A'!B10,"AAAAAHbt7JQ=")</f>
        <v>#VALUE!</v>
      </c>
      <c r="ET45" t="e">
        <f>AND('5A'!C10,"AAAAAHbt7JU=")</f>
        <v>#VALUE!</v>
      </c>
      <c r="EU45" t="e">
        <f>AND('5A'!D10,"AAAAAHbt7JY=")</f>
        <v>#VALUE!</v>
      </c>
      <c r="EV45" t="e">
        <f>AND('5A'!E10,"AAAAAHbt7Jc=")</f>
        <v>#VALUE!</v>
      </c>
      <c r="EW45" t="e">
        <f>AND('5A'!F10,"AAAAAHbt7Jg=")</f>
        <v>#VALUE!</v>
      </c>
      <c r="EX45" t="e">
        <f>AND('5A'!G10,"AAAAAHbt7Jk=")</f>
        <v>#VALUE!</v>
      </c>
      <c r="EY45" t="e">
        <f>AND('5A'!H10,"AAAAAHbt7Jo=")</f>
        <v>#VALUE!</v>
      </c>
      <c r="EZ45" t="e">
        <f>AND('5A'!#REF!,"AAAAAHbt7Js=")</f>
        <v>#REF!</v>
      </c>
      <c r="FA45" t="e">
        <f>AND('5A'!#REF!,"AAAAAHbt7Jw=")</f>
        <v>#REF!</v>
      </c>
      <c r="FB45" t="e">
        <f>AND('5A'!#REF!,"AAAAAHbt7J0=")</f>
        <v>#REF!</v>
      </c>
      <c r="FC45" t="e">
        <f>AND('5A'!#REF!,"AAAAAHbt7J4=")</f>
        <v>#REF!</v>
      </c>
      <c r="FD45" t="e">
        <f>AND('5A'!I10,"AAAAAHbt7J8=")</f>
        <v>#VALUE!</v>
      </c>
      <c r="FE45" t="e">
        <f>AND('5A'!#REF!,"AAAAAHbt7KA=")</f>
        <v>#REF!</v>
      </c>
      <c r="FF45" t="e">
        <f>AND('5A'!#REF!,"AAAAAHbt7KE=")</f>
        <v>#REF!</v>
      </c>
      <c r="FG45">
        <f>IF('5A'!11:11,"AAAAAHbt7KI=",0)</f>
        <v>0</v>
      </c>
      <c r="FH45" t="e">
        <f>AND('5A'!#REF!,"AAAAAHbt7KM=")</f>
        <v>#REF!</v>
      </c>
      <c r="FI45" t="e">
        <f>AND('5A'!A11,"AAAAAHbt7KQ=")</f>
        <v>#VALUE!</v>
      </c>
      <c r="FJ45" t="e">
        <f>AND('5A'!B11,"AAAAAHbt7KU=")</f>
        <v>#VALUE!</v>
      </c>
      <c r="FK45" t="e">
        <f>AND('5A'!C11,"AAAAAHbt7KY=")</f>
        <v>#VALUE!</v>
      </c>
      <c r="FL45" t="e">
        <f>AND('5A'!D11,"AAAAAHbt7Kc=")</f>
        <v>#VALUE!</v>
      </c>
      <c r="FM45" t="e">
        <f>AND('5A'!E11,"AAAAAHbt7Kg=")</f>
        <v>#VALUE!</v>
      </c>
      <c r="FN45" t="e">
        <f>AND('5A'!F11,"AAAAAHbt7Kk=")</f>
        <v>#VALUE!</v>
      </c>
      <c r="FO45" t="e">
        <f>AND('5A'!G11,"AAAAAHbt7Ko=")</f>
        <v>#VALUE!</v>
      </c>
      <c r="FP45" t="e">
        <f>AND('5A'!H11,"AAAAAHbt7Ks=")</f>
        <v>#VALUE!</v>
      </c>
      <c r="FQ45" t="e">
        <f>AND('5A'!#REF!,"AAAAAHbt7Kw=")</f>
        <v>#REF!</v>
      </c>
      <c r="FR45" t="e">
        <f>AND('5A'!#REF!,"AAAAAHbt7K0=")</f>
        <v>#REF!</v>
      </c>
      <c r="FS45" t="e">
        <f>AND('5A'!#REF!,"AAAAAHbt7K4=")</f>
        <v>#REF!</v>
      </c>
      <c r="FT45" t="e">
        <f>AND('5A'!#REF!,"AAAAAHbt7K8=")</f>
        <v>#REF!</v>
      </c>
      <c r="FU45" t="e">
        <f>AND('5A'!I11,"AAAAAHbt7LA=")</f>
        <v>#VALUE!</v>
      </c>
      <c r="FV45" t="e">
        <f>AND('5A'!#REF!,"AAAAAHbt7LE=")</f>
        <v>#REF!</v>
      </c>
      <c r="FW45" t="e">
        <f>AND('5A'!#REF!,"AAAAAHbt7LI=")</f>
        <v>#REF!</v>
      </c>
      <c r="FX45">
        <f>IF('5A'!12:12,"AAAAAHbt7LM=",0)</f>
        <v>0</v>
      </c>
      <c r="FY45" t="e">
        <f>AND('5A'!#REF!,"AAAAAHbt7LQ=")</f>
        <v>#REF!</v>
      </c>
      <c r="FZ45" t="e">
        <f>AND('5A'!A12,"AAAAAHbt7LU=")</f>
        <v>#VALUE!</v>
      </c>
      <c r="GA45" t="e">
        <f>AND('5A'!B12,"AAAAAHbt7LY=")</f>
        <v>#VALUE!</v>
      </c>
      <c r="GB45" t="e">
        <f>AND('5A'!C12,"AAAAAHbt7Lc=")</f>
        <v>#VALUE!</v>
      </c>
      <c r="GC45" t="e">
        <f>AND('5A'!D12,"AAAAAHbt7Lg=")</f>
        <v>#VALUE!</v>
      </c>
      <c r="GD45" t="e">
        <f>AND('5A'!E12,"AAAAAHbt7Lk=")</f>
        <v>#VALUE!</v>
      </c>
      <c r="GE45" t="e">
        <f>AND('5A'!F12,"AAAAAHbt7Lo=")</f>
        <v>#VALUE!</v>
      </c>
      <c r="GF45" t="e">
        <f>AND('5A'!G12,"AAAAAHbt7Ls=")</f>
        <v>#VALUE!</v>
      </c>
      <c r="GG45" t="e">
        <f>AND('5A'!H12,"AAAAAHbt7Lw=")</f>
        <v>#VALUE!</v>
      </c>
      <c r="GH45" t="e">
        <f>AND('5A'!#REF!,"AAAAAHbt7L0=")</f>
        <v>#REF!</v>
      </c>
      <c r="GI45" t="e">
        <f>AND('5A'!#REF!,"AAAAAHbt7L4=")</f>
        <v>#REF!</v>
      </c>
      <c r="GJ45" t="e">
        <f>AND('5A'!#REF!,"AAAAAHbt7L8=")</f>
        <v>#REF!</v>
      </c>
      <c r="GK45" t="e">
        <f>AND('5A'!#REF!,"AAAAAHbt7MA=")</f>
        <v>#REF!</v>
      </c>
      <c r="GL45" t="e">
        <f>AND('5A'!I12,"AAAAAHbt7ME=")</f>
        <v>#VALUE!</v>
      </c>
      <c r="GM45" t="e">
        <f>AND('5A'!#REF!,"AAAAAHbt7MI=")</f>
        <v>#REF!</v>
      </c>
      <c r="GN45" t="e">
        <f>AND('5A'!#REF!,"AAAAAHbt7MM=")</f>
        <v>#REF!</v>
      </c>
      <c r="GO45">
        <f>IF('5A'!13:13,"AAAAAHbt7MQ=",0)</f>
        <v>0</v>
      </c>
      <c r="GP45" t="e">
        <f>AND('5A'!#REF!,"AAAAAHbt7MU=")</f>
        <v>#REF!</v>
      </c>
      <c r="GQ45" t="e">
        <f>AND('5A'!A13,"AAAAAHbt7MY=")</f>
        <v>#VALUE!</v>
      </c>
      <c r="GR45" t="e">
        <f>AND('5A'!B13,"AAAAAHbt7Mc=")</f>
        <v>#VALUE!</v>
      </c>
      <c r="GS45" t="e">
        <f>AND('5A'!C13,"AAAAAHbt7Mg=")</f>
        <v>#VALUE!</v>
      </c>
      <c r="GT45" t="e">
        <f>AND('5A'!D13,"AAAAAHbt7Mk=")</f>
        <v>#VALUE!</v>
      </c>
      <c r="GU45" t="e">
        <f>AND('5A'!E13,"AAAAAHbt7Mo=")</f>
        <v>#VALUE!</v>
      </c>
      <c r="GV45" t="e">
        <f>AND('5A'!F13,"AAAAAHbt7Ms=")</f>
        <v>#VALUE!</v>
      </c>
      <c r="GW45" t="e">
        <f>AND('5A'!G13,"AAAAAHbt7Mw=")</f>
        <v>#VALUE!</v>
      </c>
      <c r="GX45" t="e">
        <f>AND('5A'!H13,"AAAAAHbt7M0=")</f>
        <v>#VALUE!</v>
      </c>
      <c r="GY45" t="e">
        <f>AND('5A'!#REF!,"AAAAAHbt7M4=")</f>
        <v>#REF!</v>
      </c>
      <c r="GZ45" t="e">
        <f>AND('5A'!#REF!,"AAAAAHbt7M8=")</f>
        <v>#REF!</v>
      </c>
      <c r="HA45" t="e">
        <f>AND('5A'!#REF!,"AAAAAHbt7NA=")</f>
        <v>#REF!</v>
      </c>
      <c r="HB45" t="e">
        <f>AND('5A'!#REF!,"AAAAAHbt7NE=")</f>
        <v>#REF!</v>
      </c>
      <c r="HC45" t="e">
        <f>AND('5A'!I13,"AAAAAHbt7NI=")</f>
        <v>#VALUE!</v>
      </c>
      <c r="HD45" t="e">
        <f>AND('5A'!#REF!,"AAAAAHbt7NM=")</f>
        <v>#REF!</v>
      </c>
      <c r="HE45" t="e">
        <f>AND('5A'!#REF!,"AAAAAHbt7NQ=")</f>
        <v>#REF!</v>
      </c>
      <c r="HF45">
        <f>IF('5A'!14:14,"AAAAAHbt7NU=",0)</f>
        <v>0</v>
      </c>
      <c r="HG45" t="e">
        <f>AND('5A'!#REF!,"AAAAAHbt7NY=")</f>
        <v>#REF!</v>
      </c>
      <c r="HH45" t="e">
        <f>AND('5A'!A14,"AAAAAHbt7Nc=")</f>
        <v>#VALUE!</v>
      </c>
      <c r="HI45" t="e">
        <f>AND('5A'!B14,"AAAAAHbt7Ng=")</f>
        <v>#VALUE!</v>
      </c>
      <c r="HJ45" t="e">
        <f>AND('5A'!C14,"AAAAAHbt7Nk=")</f>
        <v>#VALUE!</v>
      </c>
      <c r="HK45" t="e">
        <f>AND('5A'!D14,"AAAAAHbt7No=")</f>
        <v>#VALUE!</v>
      </c>
      <c r="HL45" t="e">
        <f>AND('5A'!E14,"AAAAAHbt7Ns=")</f>
        <v>#VALUE!</v>
      </c>
      <c r="HM45" t="e">
        <f>AND('5A'!F14,"AAAAAHbt7Nw=")</f>
        <v>#VALUE!</v>
      </c>
      <c r="HN45" t="e">
        <f>AND('5A'!G14,"AAAAAHbt7N0=")</f>
        <v>#VALUE!</v>
      </c>
      <c r="HO45" t="e">
        <f>AND('5A'!H14,"AAAAAHbt7N4=")</f>
        <v>#VALUE!</v>
      </c>
      <c r="HP45" t="e">
        <f>AND('5A'!#REF!,"AAAAAHbt7N8=")</f>
        <v>#REF!</v>
      </c>
      <c r="HQ45" t="e">
        <f>AND('5A'!#REF!,"AAAAAHbt7OA=")</f>
        <v>#REF!</v>
      </c>
      <c r="HR45" t="e">
        <f>AND('5A'!#REF!,"AAAAAHbt7OE=")</f>
        <v>#REF!</v>
      </c>
      <c r="HS45" t="e">
        <f>AND('5A'!#REF!,"AAAAAHbt7OI=")</f>
        <v>#REF!</v>
      </c>
      <c r="HT45" t="e">
        <f>AND('5A'!I14,"AAAAAHbt7OM=")</f>
        <v>#VALUE!</v>
      </c>
      <c r="HU45" t="e">
        <f>AND('5A'!#REF!,"AAAAAHbt7OQ=")</f>
        <v>#REF!</v>
      </c>
      <c r="HV45" t="e">
        <f>AND('5A'!#REF!,"AAAAAHbt7OU=")</f>
        <v>#REF!</v>
      </c>
      <c r="HW45">
        <f>IF('5A'!15:15,"AAAAAHbt7OY=",0)</f>
        <v>0</v>
      </c>
      <c r="HX45" t="e">
        <f>AND('5A'!#REF!,"AAAAAHbt7Oc=")</f>
        <v>#REF!</v>
      </c>
      <c r="HY45" t="e">
        <f>AND('5A'!A15,"AAAAAHbt7Og=")</f>
        <v>#VALUE!</v>
      </c>
      <c r="HZ45" t="e">
        <f>AND('5A'!B15,"AAAAAHbt7Ok=")</f>
        <v>#VALUE!</v>
      </c>
      <c r="IA45" t="e">
        <f>AND('5A'!C15,"AAAAAHbt7Oo=")</f>
        <v>#VALUE!</v>
      </c>
      <c r="IB45" t="e">
        <f>AND('5A'!D15,"AAAAAHbt7Os=")</f>
        <v>#VALUE!</v>
      </c>
      <c r="IC45" t="e">
        <f>AND('5A'!E15,"AAAAAHbt7Ow=")</f>
        <v>#VALUE!</v>
      </c>
      <c r="ID45" t="e">
        <f>AND('5A'!F15,"AAAAAHbt7O0=")</f>
        <v>#VALUE!</v>
      </c>
      <c r="IE45" t="e">
        <f>AND('5A'!G15,"AAAAAHbt7O4=")</f>
        <v>#VALUE!</v>
      </c>
      <c r="IF45" t="e">
        <f>AND('5A'!H15,"AAAAAHbt7O8=")</f>
        <v>#VALUE!</v>
      </c>
      <c r="IG45" t="e">
        <f>AND('5A'!#REF!,"AAAAAHbt7PA=")</f>
        <v>#REF!</v>
      </c>
      <c r="IH45" t="e">
        <f>AND('5A'!#REF!,"AAAAAHbt7PE=")</f>
        <v>#REF!</v>
      </c>
      <c r="II45" t="e">
        <f>AND('5A'!#REF!,"AAAAAHbt7PI=")</f>
        <v>#REF!</v>
      </c>
      <c r="IJ45" t="e">
        <f>AND('5A'!#REF!,"AAAAAHbt7PM=")</f>
        <v>#REF!</v>
      </c>
      <c r="IK45" t="e">
        <f>AND('5A'!I15,"AAAAAHbt7PQ=")</f>
        <v>#VALUE!</v>
      </c>
      <c r="IL45" t="e">
        <f>AND('5A'!#REF!,"AAAAAHbt7PU=")</f>
        <v>#REF!</v>
      </c>
      <c r="IM45" t="e">
        <f>AND('5A'!#REF!,"AAAAAHbt7PY=")</f>
        <v>#REF!</v>
      </c>
      <c r="IN45" t="e">
        <f>IF('5A'!#REF!,"AAAAAHbt7Pc=",0)</f>
        <v>#REF!</v>
      </c>
      <c r="IO45" t="e">
        <f>AND('5A'!#REF!,"AAAAAHbt7Pg=")</f>
        <v>#REF!</v>
      </c>
      <c r="IP45" t="e">
        <f>AND('5A'!#REF!,"AAAAAHbt7Pk=")</f>
        <v>#REF!</v>
      </c>
      <c r="IQ45" t="e">
        <f>AND('5A'!#REF!,"AAAAAHbt7Po=")</f>
        <v>#REF!</v>
      </c>
      <c r="IR45" t="e">
        <f>AND('5A'!#REF!,"AAAAAHbt7Ps=")</f>
        <v>#REF!</v>
      </c>
      <c r="IS45" t="e">
        <f>AND('5A'!#REF!,"AAAAAHbt7Pw=")</f>
        <v>#REF!</v>
      </c>
      <c r="IT45" t="e">
        <f>AND('5A'!#REF!,"AAAAAHbt7P0=")</f>
        <v>#REF!</v>
      </c>
      <c r="IU45" t="e">
        <f>AND('5A'!#REF!,"AAAAAHbt7P4=")</f>
        <v>#REF!</v>
      </c>
      <c r="IV45" t="e">
        <f>AND('5A'!#REF!,"AAAAAHbt7P8=")</f>
        <v>#REF!</v>
      </c>
    </row>
    <row r="46" spans="1:256" x14ac:dyDescent="0.25">
      <c r="A46" t="e">
        <f>AND('5A'!#REF!,"AAAAAFod/QA=")</f>
        <v>#REF!</v>
      </c>
      <c r="B46" t="e">
        <f>AND('5A'!#REF!,"AAAAAFod/QE=")</f>
        <v>#REF!</v>
      </c>
      <c r="C46" t="e">
        <f>AND('5A'!#REF!,"AAAAAFod/QI=")</f>
        <v>#REF!</v>
      </c>
      <c r="D46" t="e">
        <f>AND('5A'!#REF!,"AAAAAFod/QM=")</f>
        <v>#REF!</v>
      </c>
      <c r="E46" t="e">
        <f>AND('5A'!#REF!,"AAAAAFod/QQ=")</f>
        <v>#REF!</v>
      </c>
      <c r="F46" t="e">
        <f>AND('5A'!#REF!,"AAAAAFod/QU=")</f>
        <v>#REF!</v>
      </c>
      <c r="G46" t="e">
        <f>AND('5A'!#REF!,"AAAAAFod/QY=")</f>
        <v>#REF!</v>
      </c>
      <c r="H46" t="e">
        <f>AND('5A'!#REF!,"AAAAAFod/Qc=")</f>
        <v>#REF!</v>
      </c>
      <c r="I46" t="e">
        <f>IF('5A'!#REF!,"AAAAAFod/Qg=",0)</f>
        <v>#REF!</v>
      </c>
      <c r="J46" t="e">
        <f>AND('5A'!#REF!,"AAAAAFod/Qk=")</f>
        <v>#REF!</v>
      </c>
      <c r="K46" t="e">
        <f>AND('5A'!#REF!,"AAAAAFod/Qo=")</f>
        <v>#REF!</v>
      </c>
      <c r="L46" t="e">
        <f>AND('5A'!#REF!,"AAAAAFod/Qs=")</f>
        <v>#REF!</v>
      </c>
      <c r="M46" t="e">
        <f>AND('5A'!#REF!,"AAAAAFod/Qw=")</f>
        <v>#REF!</v>
      </c>
      <c r="N46" t="e">
        <f>AND('5A'!#REF!,"AAAAAFod/Q0=")</f>
        <v>#REF!</v>
      </c>
      <c r="O46" t="e">
        <f>AND('5A'!#REF!,"AAAAAFod/Q4=")</f>
        <v>#REF!</v>
      </c>
      <c r="P46" t="e">
        <f>AND('5A'!#REF!,"AAAAAFod/Q8=")</f>
        <v>#REF!</v>
      </c>
      <c r="Q46" t="e">
        <f>AND('5A'!#REF!,"AAAAAFod/RA=")</f>
        <v>#REF!</v>
      </c>
      <c r="R46" t="e">
        <f>AND('5A'!#REF!,"AAAAAFod/RE=")</f>
        <v>#REF!</v>
      </c>
      <c r="S46" t="e">
        <f>AND('5A'!#REF!,"AAAAAFod/RI=")</f>
        <v>#REF!</v>
      </c>
      <c r="T46" t="e">
        <f>AND('5A'!#REF!,"AAAAAFod/RM=")</f>
        <v>#REF!</v>
      </c>
      <c r="U46" t="e">
        <f>AND('5A'!#REF!,"AAAAAFod/RQ=")</f>
        <v>#REF!</v>
      </c>
      <c r="V46" t="e">
        <f>AND('5A'!#REF!,"AAAAAFod/RU=")</f>
        <v>#REF!</v>
      </c>
      <c r="W46" t="e">
        <f>AND('5A'!#REF!,"AAAAAFod/RY=")</f>
        <v>#REF!</v>
      </c>
      <c r="X46" t="e">
        <f>AND('5A'!#REF!,"AAAAAFod/Rc=")</f>
        <v>#REF!</v>
      </c>
      <c r="Y46" t="e">
        <f>AND('5A'!#REF!,"AAAAAFod/Rg=")</f>
        <v>#REF!</v>
      </c>
      <c r="Z46" t="e">
        <f>IF('5A'!#REF!,"AAAAAFod/Rk=",0)</f>
        <v>#REF!</v>
      </c>
      <c r="AA46" t="e">
        <f>AND('5A'!#REF!,"AAAAAFod/Ro=")</f>
        <v>#REF!</v>
      </c>
      <c r="AB46" t="e">
        <f>AND('5A'!#REF!,"AAAAAFod/Rs=")</f>
        <v>#REF!</v>
      </c>
      <c r="AC46" t="e">
        <f>AND('5A'!#REF!,"AAAAAFod/Rw=")</f>
        <v>#REF!</v>
      </c>
      <c r="AD46" t="e">
        <f>AND('5A'!#REF!,"AAAAAFod/R0=")</f>
        <v>#REF!</v>
      </c>
      <c r="AE46" t="e">
        <f>AND('5A'!#REF!,"AAAAAFod/R4=")</f>
        <v>#REF!</v>
      </c>
      <c r="AF46" t="e">
        <f>AND('5A'!#REF!,"AAAAAFod/R8=")</f>
        <v>#REF!</v>
      </c>
      <c r="AG46" t="e">
        <f>AND('5A'!#REF!,"AAAAAFod/SA=")</f>
        <v>#REF!</v>
      </c>
      <c r="AH46" t="e">
        <f>AND('5A'!#REF!,"AAAAAFod/SE=")</f>
        <v>#REF!</v>
      </c>
      <c r="AI46" t="e">
        <f>AND('5A'!#REF!,"AAAAAFod/SI=")</f>
        <v>#REF!</v>
      </c>
      <c r="AJ46" t="e">
        <f>AND('5A'!#REF!,"AAAAAFod/SM=")</f>
        <v>#REF!</v>
      </c>
      <c r="AK46" t="e">
        <f>AND('5A'!#REF!,"AAAAAFod/SQ=")</f>
        <v>#REF!</v>
      </c>
      <c r="AL46" t="e">
        <f>AND('5A'!#REF!,"AAAAAFod/SU=")</f>
        <v>#REF!</v>
      </c>
      <c r="AM46" t="e">
        <f>AND('5A'!#REF!,"AAAAAFod/SY=")</f>
        <v>#REF!</v>
      </c>
      <c r="AN46" t="e">
        <f>AND('5A'!#REF!,"AAAAAFod/Sc=")</f>
        <v>#REF!</v>
      </c>
      <c r="AO46" t="e">
        <f>AND('5A'!#REF!,"AAAAAFod/Sg=")</f>
        <v>#REF!</v>
      </c>
      <c r="AP46" t="e">
        <f>AND('5A'!#REF!,"AAAAAFod/Sk=")</f>
        <v>#REF!</v>
      </c>
      <c r="AQ46" t="e">
        <f>IF('5A'!#REF!,"AAAAAFod/So=",0)</f>
        <v>#REF!</v>
      </c>
      <c r="AR46" t="e">
        <f>AND('5A'!#REF!,"AAAAAFod/Ss=")</f>
        <v>#REF!</v>
      </c>
      <c r="AS46" t="e">
        <f>AND('5A'!#REF!,"AAAAAFod/Sw=")</f>
        <v>#REF!</v>
      </c>
      <c r="AT46" t="e">
        <f>AND('5A'!#REF!,"AAAAAFod/S0=")</f>
        <v>#REF!</v>
      </c>
      <c r="AU46" t="e">
        <f>AND('5A'!#REF!,"AAAAAFod/S4=")</f>
        <v>#REF!</v>
      </c>
      <c r="AV46" t="e">
        <f>AND('5A'!#REF!,"AAAAAFod/S8=")</f>
        <v>#REF!</v>
      </c>
      <c r="AW46" t="e">
        <f>AND('5A'!#REF!,"AAAAAFod/TA=")</f>
        <v>#REF!</v>
      </c>
      <c r="AX46" t="e">
        <f>AND('5A'!#REF!,"AAAAAFod/TE=")</f>
        <v>#REF!</v>
      </c>
      <c r="AY46" t="e">
        <f>AND('5A'!#REF!,"AAAAAFod/TI=")</f>
        <v>#REF!</v>
      </c>
      <c r="AZ46" t="e">
        <f>AND('5A'!#REF!,"AAAAAFod/TM=")</f>
        <v>#REF!</v>
      </c>
      <c r="BA46" t="e">
        <f>AND('5A'!#REF!,"AAAAAFod/TQ=")</f>
        <v>#REF!</v>
      </c>
      <c r="BB46" t="e">
        <f>AND('5A'!#REF!,"AAAAAFod/TU=")</f>
        <v>#REF!</v>
      </c>
      <c r="BC46" t="e">
        <f>AND('5A'!#REF!,"AAAAAFod/TY=")</f>
        <v>#REF!</v>
      </c>
      <c r="BD46" t="e">
        <f>AND('5A'!#REF!,"AAAAAFod/Tc=")</f>
        <v>#REF!</v>
      </c>
      <c r="BE46" t="e">
        <f>AND('5A'!#REF!,"AAAAAFod/Tg=")</f>
        <v>#REF!</v>
      </c>
      <c r="BF46" t="e">
        <f>AND('5A'!#REF!,"AAAAAFod/Tk=")</f>
        <v>#REF!</v>
      </c>
      <c r="BG46" t="e">
        <f>AND('5A'!#REF!,"AAAAAFod/To=")</f>
        <v>#REF!</v>
      </c>
      <c r="BH46" t="e">
        <f>IF('5A'!#REF!,"AAAAAFod/Ts=",0)</f>
        <v>#REF!</v>
      </c>
      <c r="BI46" t="e">
        <f>AND('5A'!#REF!,"AAAAAFod/Tw=")</f>
        <v>#REF!</v>
      </c>
      <c r="BJ46" t="e">
        <f>AND('5A'!#REF!,"AAAAAFod/T0=")</f>
        <v>#REF!</v>
      </c>
      <c r="BK46" t="e">
        <f>AND('5A'!#REF!,"AAAAAFod/T4=")</f>
        <v>#REF!</v>
      </c>
      <c r="BL46" t="e">
        <f>AND('5A'!#REF!,"AAAAAFod/T8=")</f>
        <v>#REF!</v>
      </c>
      <c r="BM46" t="e">
        <f>AND('5A'!#REF!,"AAAAAFod/UA=")</f>
        <v>#REF!</v>
      </c>
      <c r="BN46" t="e">
        <f>AND('5A'!#REF!,"AAAAAFod/UE=")</f>
        <v>#REF!</v>
      </c>
      <c r="BO46" t="e">
        <f>AND('5A'!#REF!,"AAAAAFod/UI=")</f>
        <v>#REF!</v>
      </c>
      <c r="BP46" t="e">
        <f>AND('5A'!#REF!,"AAAAAFod/UM=")</f>
        <v>#REF!</v>
      </c>
      <c r="BQ46" t="e">
        <f>AND('5A'!#REF!,"AAAAAFod/UQ=")</f>
        <v>#REF!</v>
      </c>
      <c r="BR46" t="e">
        <f>AND('5A'!#REF!,"AAAAAFod/UU=")</f>
        <v>#REF!</v>
      </c>
      <c r="BS46" t="e">
        <f>AND('5A'!#REF!,"AAAAAFod/UY=")</f>
        <v>#REF!</v>
      </c>
      <c r="BT46" t="e">
        <f>AND('5A'!#REF!,"AAAAAFod/Uc=")</f>
        <v>#REF!</v>
      </c>
      <c r="BU46" t="e">
        <f>AND('5A'!#REF!,"AAAAAFod/Ug=")</f>
        <v>#REF!</v>
      </c>
      <c r="BV46" t="e">
        <f>AND('5A'!#REF!,"AAAAAFod/Uk=")</f>
        <v>#REF!</v>
      </c>
      <c r="BW46" t="e">
        <f>AND('5A'!#REF!,"AAAAAFod/Uo=")</f>
        <v>#REF!</v>
      </c>
      <c r="BX46" t="e">
        <f>AND('5A'!#REF!,"AAAAAFod/Us=")</f>
        <v>#REF!</v>
      </c>
      <c r="BY46" t="e">
        <f>IF('5A'!#REF!,"AAAAAFod/Uw=",0)</f>
        <v>#REF!</v>
      </c>
      <c r="BZ46" t="e">
        <f>AND('5A'!#REF!,"AAAAAFod/U0=")</f>
        <v>#REF!</v>
      </c>
      <c r="CA46" t="e">
        <f>AND('5A'!#REF!,"AAAAAFod/U4=")</f>
        <v>#REF!</v>
      </c>
      <c r="CB46" t="e">
        <f>AND('5A'!#REF!,"AAAAAFod/U8=")</f>
        <v>#REF!</v>
      </c>
      <c r="CC46" t="e">
        <f>AND('5A'!#REF!,"AAAAAFod/VA=")</f>
        <v>#REF!</v>
      </c>
      <c r="CD46" t="e">
        <f>AND('5A'!#REF!,"AAAAAFod/VE=")</f>
        <v>#REF!</v>
      </c>
      <c r="CE46" t="e">
        <f>AND('5A'!#REF!,"AAAAAFod/VI=")</f>
        <v>#REF!</v>
      </c>
      <c r="CF46" t="e">
        <f>AND('5A'!#REF!,"AAAAAFod/VM=")</f>
        <v>#REF!</v>
      </c>
      <c r="CG46" t="e">
        <f>AND('5A'!#REF!,"AAAAAFod/VQ=")</f>
        <v>#REF!</v>
      </c>
      <c r="CH46" t="e">
        <f>AND('5A'!#REF!,"AAAAAFod/VU=")</f>
        <v>#REF!</v>
      </c>
      <c r="CI46" t="e">
        <f>AND('5A'!#REF!,"AAAAAFod/VY=")</f>
        <v>#REF!</v>
      </c>
      <c r="CJ46" t="e">
        <f>AND('5A'!#REF!,"AAAAAFod/Vc=")</f>
        <v>#REF!</v>
      </c>
      <c r="CK46" t="e">
        <f>AND('5A'!#REF!,"AAAAAFod/Vg=")</f>
        <v>#REF!</v>
      </c>
      <c r="CL46" t="e">
        <f>AND('5A'!#REF!,"AAAAAFod/Vk=")</f>
        <v>#REF!</v>
      </c>
      <c r="CM46" t="e">
        <f>AND('5A'!#REF!,"AAAAAFod/Vo=")</f>
        <v>#REF!</v>
      </c>
      <c r="CN46" t="e">
        <f>AND('5A'!#REF!,"AAAAAFod/Vs=")</f>
        <v>#REF!</v>
      </c>
      <c r="CO46" t="e">
        <f>AND('5A'!#REF!,"AAAAAFod/Vw=")</f>
        <v>#REF!</v>
      </c>
      <c r="CP46" t="e">
        <f>IF('5A'!#REF!,"AAAAAFod/V0=",0)</f>
        <v>#REF!</v>
      </c>
      <c r="CQ46" t="e">
        <f>AND('5A'!#REF!,"AAAAAFod/V4=")</f>
        <v>#REF!</v>
      </c>
      <c r="CR46" t="e">
        <f>AND('5A'!#REF!,"AAAAAFod/V8=")</f>
        <v>#REF!</v>
      </c>
      <c r="CS46" t="e">
        <f>AND('5A'!#REF!,"AAAAAFod/WA=")</f>
        <v>#REF!</v>
      </c>
      <c r="CT46" t="e">
        <f>AND('5A'!#REF!,"AAAAAFod/WE=")</f>
        <v>#REF!</v>
      </c>
      <c r="CU46" t="e">
        <f>AND('5A'!#REF!,"AAAAAFod/WI=")</f>
        <v>#REF!</v>
      </c>
      <c r="CV46" t="e">
        <f>AND('5A'!#REF!,"AAAAAFod/WM=")</f>
        <v>#REF!</v>
      </c>
      <c r="CW46" t="e">
        <f>AND('5A'!#REF!,"AAAAAFod/WQ=")</f>
        <v>#REF!</v>
      </c>
      <c r="CX46" t="e">
        <f>AND('5A'!#REF!,"AAAAAFod/WU=")</f>
        <v>#REF!</v>
      </c>
      <c r="CY46" t="e">
        <f>AND('5A'!#REF!,"AAAAAFod/WY=")</f>
        <v>#REF!</v>
      </c>
      <c r="CZ46" t="e">
        <f>AND('5A'!#REF!,"AAAAAFod/Wc=")</f>
        <v>#REF!</v>
      </c>
      <c r="DA46" t="e">
        <f>AND('5A'!#REF!,"AAAAAFod/Wg=")</f>
        <v>#REF!</v>
      </c>
      <c r="DB46" t="e">
        <f>AND('5A'!#REF!,"AAAAAFod/Wk=")</f>
        <v>#REF!</v>
      </c>
      <c r="DC46" t="e">
        <f>AND('5A'!#REF!,"AAAAAFod/Wo=")</f>
        <v>#REF!</v>
      </c>
      <c r="DD46" t="e">
        <f>AND('5A'!#REF!,"AAAAAFod/Ws=")</f>
        <v>#REF!</v>
      </c>
      <c r="DE46" t="e">
        <f>AND('5A'!#REF!,"AAAAAFod/Ww=")</f>
        <v>#REF!</v>
      </c>
      <c r="DF46" t="e">
        <f>AND('5A'!#REF!,"AAAAAFod/W0=")</f>
        <v>#REF!</v>
      </c>
      <c r="DG46" t="e">
        <f>IF('5A'!#REF!,"AAAAAFod/W4=",0)</f>
        <v>#REF!</v>
      </c>
      <c r="DH46" t="e">
        <f>AND('5A'!#REF!,"AAAAAFod/W8=")</f>
        <v>#REF!</v>
      </c>
      <c r="DI46" t="e">
        <f>AND('5A'!#REF!,"AAAAAFod/XA=")</f>
        <v>#REF!</v>
      </c>
      <c r="DJ46" t="e">
        <f>AND('5A'!#REF!,"AAAAAFod/XE=")</f>
        <v>#REF!</v>
      </c>
      <c r="DK46" t="e">
        <f>AND('5A'!#REF!,"AAAAAFod/XI=")</f>
        <v>#REF!</v>
      </c>
      <c r="DL46" t="e">
        <f>AND('5A'!#REF!,"AAAAAFod/XM=")</f>
        <v>#REF!</v>
      </c>
      <c r="DM46" t="e">
        <f>AND('5A'!#REF!,"AAAAAFod/XQ=")</f>
        <v>#REF!</v>
      </c>
      <c r="DN46" t="e">
        <f>AND('5A'!#REF!,"AAAAAFod/XU=")</f>
        <v>#REF!</v>
      </c>
      <c r="DO46" t="e">
        <f>AND('5A'!#REF!,"AAAAAFod/XY=")</f>
        <v>#REF!</v>
      </c>
      <c r="DP46" t="e">
        <f>AND('5A'!#REF!,"AAAAAFod/Xc=")</f>
        <v>#REF!</v>
      </c>
      <c r="DQ46" t="e">
        <f>AND('5A'!#REF!,"AAAAAFod/Xg=")</f>
        <v>#REF!</v>
      </c>
      <c r="DR46" t="e">
        <f>AND('5A'!#REF!,"AAAAAFod/Xk=")</f>
        <v>#REF!</v>
      </c>
      <c r="DS46" t="e">
        <f>AND('5A'!#REF!,"AAAAAFod/Xo=")</f>
        <v>#REF!</v>
      </c>
      <c r="DT46" t="e">
        <f>AND('5A'!#REF!,"AAAAAFod/Xs=")</f>
        <v>#REF!</v>
      </c>
      <c r="DU46" t="e">
        <f>AND('5A'!#REF!,"AAAAAFod/Xw=")</f>
        <v>#REF!</v>
      </c>
      <c r="DV46" t="e">
        <f>AND('5A'!#REF!,"AAAAAFod/X0=")</f>
        <v>#REF!</v>
      </c>
      <c r="DW46" t="e">
        <f>AND('5A'!#REF!,"AAAAAFod/X4=")</f>
        <v>#REF!</v>
      </c>
      <c r="DX46" t="e">
        <f>IF('5A'!#REF!,"AAAAAFod/X8=",0)</f>
        <v>#REF!</v>
      </c>
      <c r="DY46" t="e">
        <f>AND('5A'!#REF!,"AAAAAFod/YA=")</f>
        <v>#REF!</v>
      </c>
      <c r="DZ46" t="e">
        <f>AND('5A'!#REF!,"AAAAAFod/YE=")</f>
        <v>#REF!</v>
      </c>
      <c r="EA46" t="e">
        <f>AND('5A'!#REF!,"AAAAAFod/YI=")</f>
        <v>#REF!</v>
      </c>
      <c r="EB46" t="e">
        <f>AND('5A'!#REF!,"AAAAAFod/YM=")</f>
        <v>#REF!</v>
      </c>
      <c r="EC46" t="e">
        <f>AND('5A'!#REF!,"AAAAAFod/YQ=")</f>
        <v>#REF!</v>
      </c>
      <c r="ED46" t="e">
        <f>AND('5A'!#REF!,"AAAAAFod/YU=")</f>
        <v>#REF!</v>
      </c>
      <c r="EE46" t="e">
        <f>AND('5A'!#REF!,"AAAAAFod/YY=")</f>
        <v>#REF!</v>
      </c>
      <c r="EF46" t="e">
        <f>AND('5A'!#REF!,"AAAAAFod/Yc=")</f>
        <v>#REF!</v>
      </c>
      <c r="EG46" t="e">
        <f>AND('5A'!#REF!,"AAAAAFod/Yg=")</f>
        <v>#REF!</v>
      </c>
      <c r="EH46" t="e">
        <f>AND('5A'!#REF!,"AAAAAFod/Yk=")</f>
        <v>#REF!</v>
      </c>
      <c r="EI46" t="e">
        <f>AND('5A'!#REF!,"AAAAAFod/Yo=")</f>
        <v>#REF!</v>
      </c>
      <c r="EJ46" t="e">
        <f>AND('5A'!#REF!,"AAAAAFod/Ys=")</f>
        <v>#REF!</v>
      </c>
      <c r="EK46" t="e">
        <f>AND('5A'!#REF!,"AAAAAFod/Yw=")</f>
        <v>#REF!</v>
      </c>
      <c r="EL46" t="e">
        <f>AND('5A'!#REF!,"AAAAAFod/Y0=")</f>
        <v>#REF!</v>
      </c>
      <c r="EM46" t="e">
        <f>AND('5A'!#REF!,"AAAAAFod/Y4=")</f>
        <v>#REF!</v>
      </c>
      <c r="EN46" t="e">
        <f>AND('5A'!#REF!,"AAAAAFod/Y8=")</f>
        <v>#REF!</v>
      </c>
      <c r="EO46" t="e">
        <f>IF('5A'!#REF!,"AAAAAFod/ZA=",0)</f>
        <v>#REF!</v>
      </c>
      <c r="EP46" t="e">
        <f>AND('5A'!#REF!,"AAAAAFod/ZE=")</f>
        <v>#REF!</v>
      </c>
      <c r="EQ46" t="e">
        <f>AND('5A'!#REF!,"AAAAAFod/ZI=")</f>
        <v>#REF!</v>
      </c>
      <c r="ER46" t="e">
        <f>AND('5A'!#REF!,"AAAAAFod/ZM=")</f>
        <v>#REF!</v>
      </c>
      <c r="ES46" t="e">
        <f>AND('5A'!#REF!,"AAAAAFod/ZQ=")</f>
        <v>#REF!</v>
      </c>
      <c r="ET46" t="e">
        <f>AND('5A'!#REF!,"AAAAAFod/ZU=")</f>
        <v>#REF!</v>
      </c>
      <c r="EU46" t="e">
        <f>AND('5A'!#REF!,"AAAAAFod/ZY=")</f>
        <v>#REF!</v>
      </c>
      <c r="EV46" t="e">
        <f>AND('5A'!#REF!,"AAAAAFod/Zc=")</f>
        <v>#REF!</v>
      </c>
      <c r="EW46" t="e">
        <f>AND('5A'!#REF!,"AAAAAFod/Zg=")</f>
        <v>#REF!</v>
      </c>
      <c r="EX46" t="e">
        <f>AND('5A'!#REF!,"AAAAAFod/Zk=")</f>
        <v>#REF!</v>
      </c>
      <c r="EY46" t="e">
        <f>AND('5A'!#REF!,"AAAAAFod/Zo=")</f>
        <v>#REF!</v>
      </c>
      <c r="EZ46" t="e">
        <f>AND('5A'!#REF!,"AAAAAFod/Zs=")</f>
        <v>#REF!</v>
      </c>
      <c r="FA46" t="e">
        <f>AND('5A'!#REF!,"AAAAAFod/Zw=")</f>
        <v>#REF!</v>
      </c>
      <c r="FB46" t="e">
        <f>AND('5A'!#REF!,"AAAAAFod/Z0=")</f>
        <v>#REF!</v>
      </c>
      <c r="FC46" t="e">
        <f>AND('5A'!#REF!,"AAAAAFod/Z4=")</f>
        <v>#REF!</v>
      </c>
      <c r="FD46" t="e">
        <f>AND('5A'!#REF!,"AAAAAFod/Z8=")</f>
        <v>#REF!</v>
      </c>
      <c r="FE46" t="e">
        <f>AND('5A'!#REF!,"AAAAAFod/aA=")</f>
        <v>#REF!</v>
      </c>
      <c r="FF46" t="e">
        <f>IF('5A'!#REF!,"AAAAAFod/aE=",0)</f>
        <v>#REF!</v>
      </c>
      <c r="FG46" t="e">
        <f>AND('5A'!#REF!,"AAAAAFod/aI=")</f>
        <v>#REF!</v>
      </c>
      <c r="FH46" t="e">
        <f>AND('5A'!#REF!,"AAAAAFod/aM=")</f>
        <v>#REF!</v>
      </c>
      <c r="FI46" t="e">
        <f>AND('5A'!#REF!,"AAAAAFod/aQ=")</f>
        <v>#REF!</v>
      </c>
      <c r="FJ46" t="e">
        <f>AND('5A'!#REF!,"AAAAAFod/aU=")</f>
        <v>#REF!</v>
      </c>
      <c r="FK46" t="e">
        <f>AND('5A'!#REF!,"AAAAAFod/aY=")</f>
        <v>#REF!</v>
      </c>
      <c r="FL46" t="e">
        <f>AND('5A'!#REF!,"AAAAAFod/ac=")</f>
        <v>#REF!</v>
      </c>
      <c r="FM46" t="e">
        <f>AND('5A'!#REF!,"AAAAAFod/ag=")</f>
        <v>#REF!</v>
      </c>
      <c r="FN46" t="e">
        <f>AND('5A'!#REF!,"AAAAAFod/ak=")</f>
        <v>#REF!</v>
      </c>
      <c r="FO46" t="e">
        <f>AND('5A'!#REF!,"AAAAAFod/ao=")</f>
        <v>#REF!</v>
      </c>
      <c r="FP46" t="e">
        <f>AND('5A'!#REF!,"AAAAAFod/as=")</f>
        <v>#REF!</v>
      </c>
      <c r="FQ46" t="e">
        <f>AND('5A'!#REF!,"AAAAAFod/aw=")</f>
        <v>#REF!</v>
      </c>
      <c r="FR46" t="e">
        <f>AND('5A'!#REF!,"AAAAAFod/a0=")</f>
        <v>#REF!</v>
      </c>
      <c r="FS46" t="e">
        <f>AND('5A'!#REF!,"AAAAAFod/a4=")</f>
        <v>#REF!</v>
      </c>
      <c r="FT46" t="e">
        <f>AND('5A'!#REF!,"AAAAAFod/a8=")</f>
        <v>#REF!</v>
      </c>
      <c r="FU46" t="e">
        <f>AND('5A'!#REF!,"AAAAAFod/bA=")</f>
        <v>#REF!</v>
      </c>
      <c r="FV46" t="e">
        <f>AND('5A'!#REF!,"AAAAAFod/bE=")</f>
        <v>#REF!</v>
      </c>
      <c r="FW46" t="e">
        <f>IF('5A'!#REF!,"AAAAAFod/bI=",0)</f>
        <v>#REF!</v>
      </c>
      <c r="FX46" t="e">
        <f>AND('5A'!#REF!,"AAAAAFod/bM=")</f>
        <v>#REF!</v>
      </c>
      <c r="FY46" t="e">
        <f>AND('5A'!#REF!,"AAAAAFod/bQ=")</f>
        <v>#REF!</v>
      </c>
      <c r="FZ46" t="e">
        <f>AND('5A'!#REF!,"AAAAAFod/bU=")</f>
        <v>#REF!</v>
      </c>
      <c r="GA46" t="e">
        <f>AND('5A'!#REF!,"AAAAAFod/bY=")</f>
        <v>#REF!</v>
      </c>
      <c r="GB46" t="e">
        <f>AND('5A'!#REF!,"AAAAAFod/bc=")</f>
        <v>#REF!</v>
      </c>
      <c r="GC46" t="e">
        <f>AND('5A'!#REF!,"AAAAAFod/bg=")</f>
        <v>#REF!</v>
      </c>
      <c r="GD46" t="e">
        <f>AND('5A'!#REF!,"AAAAAFod/bk=")</f>
        <v>#REF!</v>
      </c>
      <c r="GE46" t="e">
        <f>AND('5A'!#REF!,"AAAAAFod/bo=")</f>
        <v>#REF!</v>
      </c>
      <c r="GF46" t="e">
        <f>AND('5A'!#REF!,"AAAAAFod/bs=")</f>
        <v>#REF!</v>
      </c>
      <c r="GG46" t="e">
        <f>AND('5A'!#REF!,"AAAAAFod/bw=")</f>
        <v>#REF!</v>
      </c>
      <c r="GH46" t="e">
        <f>AND('5A'!#REF!,"AAAAAFod/b0=")</f>
        <v>#REF!</v>
      </c>
      <c r="GI46" t="e">
        <f>AND('5A'!#REF!,"AAAAAFod/b4=")</f>
        <v>#REF!</v>
      </c>
      <c r="GJ46" t="e">
        <f>AND('5A'!#REF!,"AAAAAFod/b8=")</f>
        <v>#REF!</v>
      </c>
      <c r="GK46" t="e">
        <f>AND('5A'!#REF!,"AAAAAFod/cA=")</f>
        <v>#REF!</v>
      </c>
      <c r="GL46" t="e">
        <f>AND('5A'!#REF!,"AAAAAFod/cE=")</f>
        <v>#REF!</v>
      </c>
      <c r="GM46" t="e">
        <f>AND('5A'!#REF!,"AAAAAFod/cI=")</f>
        <v>#REF!</v>
      </c>
      <c r="GN46" t="e">
        <f>IF('5A'!#REF!,"AAAAAFod/cM=",0)</f>
        <v>#REF!</v>
      </c>
      <c r="GO46" t="e">
        <f>AND('5A'!#REF!,"AAAAAFod/cQ=")</f>
        <v>#REF!</v>
      </c>
      <c r="GP46" t="e">
        <f>AND('5A'!#REF!,"AAAAAFod/cU=")</f>
        <v>#REF!</v>
      </c>
      <c r="GQ46" t="e">
        <f>AND('5A'!#REF!,"AAAAAFod/cY=")</f>
        <v>#REF!</v>
      </c>
      <c r="GR46" t="e">
        <f>AND('5A'!#REF!,"AAAAAFod/cc=")</f>
        <v>#REF!</v>
      </c>
      <c r="GS46" t="e">
        <f>AND('5A'!#REF!,"AAAAAFod/cg=")</f>
        <v>#REF!</v>
      </c>
      <c r="GT46" t="e">
        <f>AND('5A'!#REF!,"AAAAAFod/ck=")</f>
        <v>#REF!</v>
      </c>
      <c r="GU46" t="e">
        <f>AND('5A'!#REF!,"AAAAAFod/co=")</f>
        <v>#REF!</v>
      </c>
      <c r="GV46" t="e">
        <f>AND('5A'!#REF!,"AAAAAFod/cs=")</f>
        <v>#REF!</v>
      </c>
      <c r="GW46" t="e">
        <f>AND('5A'!#REF!,"AAAAAFod/cw=")</f>
        <v>#REF!</v>
      </c>
      <c r="GX46" t="e">
        <f>AND('5A'!#REF!,"AAAAAFod/c0=")</f>
        <v>#REF!</v>
      </c>
      <c r="GY46" t="e">
        <f>AND('5A'!#REF!,"AAAAAFod/c4=")</f>
        <v>#REF!</v>
      </c>
      <c r="GZ46" t="e">
        <f>AND('5A'!#REF!,"AAAAAFod/c8=")</f>
        <v>#REF!</v>
      </c>
      <c r="HA46" t="e">
        <f>AND('5A'!#REF!,"AAAAAFod/dA=")</f>
        <v>#REF!</v>
      </c>
      <c r="HB46" t="e">
        <f>AND('5A'!#REF!,"AAAAAFod/dE=")</f>
        <v>#REF!</v>
      </c>
      <c r="HC46" t="e">
        <f>AND('5A'!#REF!,"AAAAAFod/dI=")</f>
        <v>#REF!</v>
      </c>
      <c r="HD46" t="e">
        <f>AND('5A'!#REF!,"AAAAAFod/dM=")</f>
        <v>#REF!</v>
      </c>
      <c r="HE46" t="e">
        <f>IF('5A'!#REF!,"AAAAAFod/dQ=",0)</f>
        <v>#REF!</v>
      </c>
      <c r="HF46" t="e">
        <f>AND('5A'!#REF!,"AAAAAFod/dU=")</f>
        <v>#REF!</v>
      </c>
      <c r="HG46" t="e">
        <f>AND('5A'!#REF!,"AAAAAFod/dY=")</f>
        <v>#REF!</v>
      </c>
      <c r="HH46" t="e">
        <f>AND('5A'!#REF!,"AAAAAFod/dc=")</f>
        <v>#REF!</v>
      </c>
      <c r="HI46" t="e">
        <f>AND('5A'!#REF!,"AAAAAFod/dg=")</f>
        <v>#REF!</v>
      </c>
      <c r="HJ46" t="e">
        <f>AND('5A'!#REF!,"AAAAAFod/dk=")</f>
        <v>#REF!</v>
      </c>
      <c r="HK46" t="e">
        <f>AND('5A'!#REF!,"AAAAAFod/do=")</f>
        <v>#REF!</v>
      </c>
      <c r="HL46" t="e">
        <f>AND('5A'!#REF!,"AAAAAFod/ds=")</f>
        <v>#REF!</v>
      </c>
      <c r="HM46" t="e">
        <f>AND('5A'!#REF!,"AAAAAFod/dw=")</f>
        <v>#REF!</v>
      </c>
      <c r="HN46" t="e">
        <f>AND('5A'!#REF!,"AAAAAFod/d0=")</f>
        <v>#REF!</v>
      </c>
      <c r="HO46" t="e">
        <f>AND('5A'!#REF!,"AAAAAFod/d4=")</f>
        <v>#REF!</v>
      </c>
      <c r="HP46" t="e">
        <f>AND('5A'!#REF!,"AAAAAFod/d8=")</f>
        <v>#REF!</v>
      </c>
      <c r="HQ46" t="e">
        <f>AND('5A'!#REF!,"AAAAAFod/eA=")</f>
        <v>#REF!</v>
      </c>
      <c r="HR46" t="e">
        <f>AND('5A'!#REF!,"AAAAAFod/eE=")</f>
        <v>#REF!</v>
      </c>
      <c r="HS46" t="e">
        <f>AND('5A'!#REF!,"AAAAAFod/eI=")</f>
        <v>#REF!</v>
      </c>
      <c r="HT46" t="e">
        <f>AND('5A'!#REF!,"AAAAAFod/eM=")</f>
        <v>#REF!</v>
      </c>
      <c r="HU46" t="e">
        <f>AND('5A'!#REF!,"AAAAAFod/eQ=")</f>
        <v>#REF!</v>
      </c>
      <c r="HV46" t="e">
        <f>IF('5A'!#REF!,"AAAAAFod/eU=",0)</f>
        <v>#REF!</v>
      </c>
      <c r="HW46" t="e">
        <f>AND('5A'!#REF!,"AAAAAFod/eY=")</f>
        <v>#REF!</v>
      </c>
      <c r="HX46" t="e">
        <f>AND('5A'!#REF!,"AAAAAFod/ec=")</f>
        <v>#REF!</v>
      </c>
      <c r="HY46" t="e">
        <f>AND('5A'!#REF!,"AAAAAFod/eg=")</f>
        <v>#REF!</v>
      </c>
      <c r="HZ46" t="e">
        <f>AND('5A'!#REF!,"AAAAAFod/ek=")</f>
        <v>#REF!</v>
      </c>
      <c r="IA46" t="e">
        <f>AND('5A'!#REF!,"AAAAAFod/eo=")</f>
        <v>#REF!</v>
      </c>
      <c r="IB46" t="e">
        <f>AND('5A'!#REF!,"AAAAAFod/es=")</f>
        <v>#REF!</v>
      </c>
      <c r="IC46" t="e">
        <f>AND('5A'!#REF!,"AAAAAFod/ew=")</f>
        <v>#REF!</v>
      </c>
      <c r="ID46" t="e">
        <f>AND('5A'!#REF!,"AAAAAFod/e0=")</f>
        <v>#REF!</v>
      </c>
      <c r="IE46" t="e">
        <f>AND('5A'!#REF!,"AAAAAFod/e4=")</f>
        <v>#REF!</v>
      </c>
      <c r="IF46" t="e">
        <f>AND('5A'!#REF!,"AAAAAFod/e8=")</f>
        <v>#REF!</v>
      </c>
      <c r="IG46" t="e">
        <f>AND('5A'!#REF!,"AAAAAFod/fA=")</f>
        <v>#REF!</v>
      </c>
      <c r="IH46" t="e">
        <f>AND('5A'!#REF!,"AAAAAFod/fE=")</f>
        <v>#REF!</v>
      </c>
      <c r="II46" t="e">
        <f>AND('5A'!#REF!,"AAAAAFod/fI=")</f>
        <v>#REF!</v>
      </c>
      <c r="IJ46" t="e">
        <f>AND('5A'!#REF!,"AAAAAFod/fM=")</f>
        <v>#REF!</v>
      </c>
      <c r="IK46" t="e">
        <f>AND('5A'!#REF!,"AAAAAFod/fQ=")</f>
        <v>#REF!</v>
      </c>
      <c r="IL46" t="e">
        <f>AND('5A'!#REF!,"AAAAAFod/fU=")</f>
        <v>#REF!</v>
      </c>
      <c r="IM46" t="e">
        <f>IF('5A'!#REF!,"AAAAAFod/fY=",0)</f>
        <v>#REF!</v>
      </c>
      <c r="IN46" t="e">
        <f>AND('5A'!#REF!,"AAAAAFod/fc=")</f>
        <v>#REF!</v>
      </c>
      <c r="IO46" t="e">
        <f>AND('5A'!#REF!,"AAAAAFod/fg=")</f>
        <v>#REF!</v>
      </c>
      <c r="IP46" t="e">
        <f>AND('5A'!#REF!,"AAAAAFod/fk=")</f>
        <v>#REF!</v>
      </c>
      <c r="IQ46" t="e">
        <f>AND('5A'!#REF!,"AAAAAFod/fo=")</f>
        <v>#REF!</v>
      </c>
      <c r="IR46" t="e">
        <f>AND('5A'!#REF!,"AAAAAFod/fs=")</f>
        <v>#REF!</v>
      </c>
      <c r="IS46" t="e">
        <f>AND('5A'!#REF!,"AAAAAFod/fw=")</f>
        <v>#REF!</v>
      </c>
      <c r="IT46" t="e">
        <f>AND('5A'!#REF!,"AAAAAFod/f0=")</f>
        <v>#REF!</v>
      </c>
      <c r="IU46" t="e">
        <f>AND('5A'!#REF!,"AAAAAFod/f4=")</f>
        <v>#REF!</v>
      </c>
      <c r="IV46" t="e">
        <f>AND('5A'!#REF!,"AAAAAFod/f8=")</f>
        <v>#REF!</v>
      </c>
    </row>
    <row r="47" spans="1:256" x14ac:dyDescent="0.25">
      <c r="A47" t="e">
        <f>AND('5A'!#REF!,"AAAAAHy2ZQA=")</f>
        <v>#REF!</v>
      </c>
      <c r="B47" t="e">
        <f>AND('5A'!#REF!,"AAAAAHy2ZQE=")</f>
        <v>#REF!</v>
      </c>
      <c r="C47" t="e">
        <f>AND('5A'!#REF!,"AAAAAHy2ZQI=")</f>
        <v>#REF!</v>
      </c>
      <c r="D47" t="e">
        <f>AND('5A'!#REF!,"AAAAAHy2ZQM=")</f>
        <v>#REF!</v>
      </c>
      <c r="E47" t="e">
        <f>AND('5A'!#REF!,"AAAAAHy2ZQQ=")</f>
        <v>#REF!</v>
      </c>
      <c r="F47" t="e">
        <f>AND('5A'!#REF!,"AAAAAHy2ZQU=")</f>
        <v>#REF!</v>
      </c>
      <c r="G47" t="e">
        <f>AND('5A'!#REF!,"AAAAAHy2ZQY=")</f>
        <v>#REF!</v>
      </c>
      <c r="H47" t="e">
        <f>IF('5A'!#REF!,"AAAAAHy2ZQc=",0)</f>
        <v>#REF!</v>
      </c>
      <c r="I47" t="e">
        <f>AND('5A'!#REF!,"AAAAAHy2ZQg=")</f>
        <v>#REF!</v>
      </c>
      <c r="J47" t="e">
        <f>AND('5A'!#REF!,"AAAAAHy2ZQk=")</f>
        <v>#REF!</v>
      </c>
      <c r="K47" t="e">
        <f>AND('5A'!#REF!,"AAAAAHy2ZQo=")</f>
        <v>#REF!</v>
      </c>
      <c r="L47" t="e">
        <f>AND('5A'!#REF!,"AAAAAHy2ZQs=")</f>
        <v>#REF!</v>
      </c>
      <c r="M47" t="e">
        <f>AND('5A'!#REF!,"AAAAAHy2ZQw=")</f>
        <v>#REF!</v>
      </c>
      <c r="N47" t="e">
        <f>AND('5A'!#REF!,"AAAAAHy2ZQ0=")</f>
        <v>#REF!</v>
      </c>
      <c r="O47" t="e">
        <f>AND('5A'!#REF!,"AAAAAHy2ZQ4=")</f>
        <v>#REF!</v>
      </c>
      <c r="P47" t="e">
        <f>AND('5A'!#REF!,"AAAAAHy2ZQ8=")</f>
        <v>#REF!</v>
      </c>
      <c r="Q47" t="e">
        <f>AND('5A'!#REF!,"AAAAAHy2ZRA=")</f>
        <v>#REF!</v>
      </c>
      <c r="R47" t="e">
        <f>AND('5A'!#REF!,"AAAAAHy2ZRE=")</f>
        <v>#REF!</v>
      </c>
      <c r="S47" t="e">
        <f>AND('5A'!#REF!,"AAAAAHy2ZRI=")</f>
        <v>#REF!</v>
      </c>
      <c r="T47" t="e">
        <f>AND('5A'!#REF!,"AAAAAHy2ZRM=")</f>
        <v>#REF!</v>
      </c>
      <c r="U47" t="e">
        <f>AND('5A'!#REF!,"AAAAAHy2ZRQ=")</f>
        <v>#REF!</v>
      </c>
      <c r="V47" t="e">
        <f>AND('5A'!#REF!,"AAAAAHy2ZRU=")</f>
        <v>#REF!</v>
      </c>
      <c r="W47" t="e">
        <f>AND('5A'!#REF!,"AAAAAHy2ZRY=")</f>
        <v>#REF!</v>
      </c>
      <c r="X47" t="e">
        <f>AND('5A'!#REF!,"AAAAAHy2ZRc=")</f>
        <v>#REF!</v>
      </c>
      <c r="Y47" t="e">
        <f>IF('5A'!#REF!,"AAAAAHy2ZRg=",0)</f>
        <v>#REF!</v>
      </c>
      <c r="Z47" t="e">
        <f>AND('5A'!#REF!,"AAAAAHy2ZRk=")</f>
        <v>#REF!</v>
      </c>
      <c r="AA47" t="e">
        <f>AND('5A'!#REF!,"AAAAAHy2ZRo=")</f>
        <v>#REF!</v>
      </c>
      <c r="AB47" t="e">
        <f>AND('5A'!#REF!,"AAAAAHy2ZRs=")</f>
        <v>#REF!</v>
      </c>
      <c r="AC47" t="e">
        <f>AND('5A'!#REF!,"AAAAAHy2ZRw=")</f>
        <v>#REF!</v>
      </c>
      <c r="AD47" t="e">
        <f>AND('5A'!#REF!,"AAAAAHy2ZR0=")</f>
        <v>#REF!</v>
      </c>
      <c r="AE47" t="e">
        <f>AND('5A'!#REF!,"AAAAAHy2ZR4=")</f>
        <v>#REF!</v>
      </c>
      <c r="AF47" t="e">
        <f>AND('5A'!#REF!,"AAAAAHy2ZR8=")</f>
        <v>#REF!</v>
      </c>
      <c r="AG47" t="e">
        <f>AND('5A'!#REF!,"AAAAAHy2ZSA=")</f>
        <v>#REF!</v>
      </c>
      <c r="AH47" t="e">
        <f>AND('5A'!#REF!,"AAAAAHy2ZSE=")</f>
        <v>#REF!</v>
      </c>
      <c r="AI47" t="e">
        <f>AND('5A'!#REF!,"AAAAAHy2ZSI=")</f>
        <v>#REF!</v>
      </c>
      <c r="AJ47" t="e">
        <f>AND('5A'!#REF!,"AAAAAHy2ZSM=")</f>
        <v>#REF!</v>
      </c>
      <c r="AK47" t="e">
        <f>AND('5A'!#REF!,"AAAAAHy2ZSQ=")</f>
        <v>#REF!</v>
      </c>
      <c r="AL47" t="e">
        <f>AND('5A'!#REF!,"AAAAAHy2ZSU=")</f>
        <v>#REF!</v>
      </c>
      <c r="AM47" t="e">
        <f>AND('5A'!#REF!,"AAAAAHy2ZSY=")</f>
        <v>#REF!</v>
      </c>
      <c r="AN47" t="e">
        <f>AND('5A'!#REF!,"AAAAAHy2ZSc=")</f>
        <v>#REF!</v>
      </c>
      <c r="AO47" t="e">
        <f>AND('5A'!#REF!,"AAAAAHy2ZSg=")</f>
        <v>#REF!</v>
      </c>
      <c r="AP47" t="e">
        <f>IF('5A'!#REF!,"AAAAAHy2ZSk=",0)</f>
        <v>#REF!</v>
      </c>
      <c r="AQ47" t="e">
        <f>AND('5A'!#REF!,"AAAAAHy2ZSo=")</f>
        <v>#REF!</v>
      </c>
      <c r="AR47" t="e">
        <f>AND('5A'!#REF!,"AAAAAHy2ZSs=")</f>
        <v>#REF!</v>
      </c>
      <c r="AS47" t="e">
        <f>AND('5A'!#REF!,"AAAAAHy2ZSw=")</f>
        <v>#REF!</v>
      </c>
      <c r="AT47" t="e">
        <f>AND('5A'!#REF!,"AAAAAHy2ZS0=")</f>
        <v>#REF!</v>
      </c>
      <c r="AU47" t="e">
        <f>AND('5A'!#REF!,"AAAAAHy2ZS4=")</f>
        <v>#REF!</v>
      </c>
      <c r="AV47" t="e">
        <f>AND('5A'!#REF!,"AAAAAHy2ZS8=")</f>
        <v>#REF!</v>
      </c>
      <c r="AW47" t="e">
        <f>AND('5A'!#REF!,"AAAAAHy2ZTA=")</f>
        <v>#REF!</v>
      </c>
      <c r="AX47" t="e">
        <f>AND('5A'!#REF!,"AAAAAHy2ZTE=")</f>
        <v>#REF!</v>
      </c>
      <c r="AY47" t="e">
        <f>AND('5A'!#REF!,"AAAAAHy2ZTI=")</f>
        <v>#REF!</v>
      </c>
      <c r="AZ47" t="e">
        <f>AND('5A'!#REF!,"AAAAAHy2ZTM=")</f>
        <v>#REF!</v>
      </c>
      <c r="BA47" t="e">
        <f>AND('5A'!#REF!,"AAAAAHy2ZTQ=")</f>
        <v>#REF!</v>
      </c>
      <c r="BB47" t="e">
        <f>AND('5A'!#REF!,"AAAAAHy2ZTU=")</f>
        <v>#REF!</v>
      </c>
      <c r="BC47" t="e">
        <f>AND('5A'!#REF!,"AAAAAHy2ZTY=")</f>
        <v>#REF!</v>
      </c>
      <c r="BD47" t="e">
        <f>AND('5A'!#REF!,"AAAAAHy2ZTc=")</f>
        <v>#REF!</v>
      </c>
      <c r="BE47" t="e">
        <f>AND('5A'!#REF!,"AAAAAHy2ZTg=")</f>
        <v>#REF!</v>
      </c>
      <c r="BF47" t="e">
        <f>AND('5A'!#REF!,"AAAAAHy2ZTk=")</f>
        <v>#REF!</v>
      </c>
      <c r="BG47" t="e">
        <f>IF('5A'!#REF!,"AAAAAHy2ZTo=",0)</f>
        <v>#REF!</v>
      </c>
      <c r="BH47" t="e">
        <f>AND('5A'!#REF!,"AAAAAHy2ZTs=")</f>
        <v>#REF!</v>
      </c>
      <c r="BI47" t="e">
        <f>AND('5A'!#REF!,"AAAAAHy2ZTw=")</f>
        <v>#REF!</v>
      </c>
      <c r="BJ47" t="e">
        <f>AND('5A'!#REF!,"AAAAAHy2ZT0=")</f>
        <v>#REF!</v>
      </c>
      <c r="BK47" t="e">
        <f>AND('5A'!#REF!,"AAAAAHy2ZT4=")</f>
        <v>#REF!</v>
      </c>
      <c r="BL47" t="e">
        <f>AND('5A'!#REF!,"AAAAAHy2ZT8=")</f>
        <v>#REF!</v>
      </c>
      <c r="BM47" t="e">
        <f>AND('5A'!#REF!,"AAAAAHy2ZUA=")</f>
        <v>#REF!</v>
      </c>
      <c r="BN47" t="e">
        <f>AND('5A'!#REF!,"AAAAAHy2ZUE=")</f>
        <v>#REF!</v>
      </c>
      <c r="BO47" t="e">
        <f>AND('5A'!#REF!,"AAAAAHy2ZUI=")</f>
        <v>#REF!</v>
      </c>
      <c r="BP47" t="e">
        <f>AND('5A'!#REF!,"AAAAAHy2ZUM=")</f>
        <v>#REF!</v>
      </c>
      <c r="BQ47" t="e">
        <f>AND('5A'!#REF!,"AAAAAHy2ZUQ=")</f>
        <v>#REF!</v>
      </c>
      <c r="BR47" t="e">
        <f>AND('5A'!#REF!,"AAAAAHy2ZUU=")</f>
        <v>#REF!</v>
      </c>
      <c r="BS47" t="e">
        <f>AND('5A'!#REF!,"AAAAAHy2ZUY=")</f>
        <v>#REF!</v>
      </c>
      <c r="BT47" t="e">
        <f>AND('5A'!#REF!,"AAAAAHy2ZUc=")</f>
        <v>#REF!</v>
      </c>
      <c r="BU47" t="e">
        <f>AND('5A'!#REF!,"AAAAAHy2ZUg=")</f>
        <v>#REF!</v>
      </c>
      <c r="BV47" t="e">
        <f>AND('5A'!#REF!,"AAAAAHy2ZUk=")</f>
        <v>#REF!</v>
      </c>
      <c r="BW47" t="e">
        <f>AND('5A'!#REF!,"AAAAAHy2ZUo=")</f>
        <v>#REF!</v>
      </c>
      <c r="BX47" t="e">
        <f>IF('5A'!#REF!,"AAAAAHy2ZUs=",0)</f>
        <v>#REF!</v>
      </c>
      <c r="BY47" t="e">
        <f>AND('5A'!#REF!,"AAAAAHy2ZUw=")</f>
        <v>#REF!</v>
      </c>
      <c r="BZ47" t="e">
        <f>AND('5A'!#REF!,"AAAAAHy2ZU0=")</f>
        <v>#REF!</v>
      </c>
      <c r="CA47" t="e">
        <f>AND('5A'!#REF!,"AAAAAHy2ZU4=")</f>
        <v>#REF!</v>
      </c>
      <c r="CB47" t="e">
        <f>AND('5A'!#REF!,"AAAAAHy2ZU8=")</f>
        <v>#REF!</v>
      </c>
      <c r="CC47" t="e">
        <f>AND('5A'!#REF!,"AAAAAHy2ZVA=")</f>
        <v>#REF!</v>
      </c>
      <c r="CD47" t="e">
        <f>AND('5A'!#REF!,"AAAAAHy2ZVE=")</f>
        <v>#REF!</v>
      </c>
      <c r="CE47" t="e">
        <f>AND('5A'!#REF!,"AAAAAHy2ZVI=")</f>
        <v>#REF!</v>
      </c>
      <c r="CF47" t="e">
        <f>AND('5A'!#REF!,"AAAAAHy2ZVM=")</f>
        <v>#REF!</v>
      </c>
      <c r="CG47" t="e">
        <f>AND('5A'!#REF!,"AAAAAHy2ZVQ=")</f>
        <v>#REF!</v>
      </c>
      <c r="CH47" t="e">
        <f>AND('5A'!#REF!,"AAAAAHy2ZVU=")</f>
        <v>#REF!</v>
      </c>
      <c r="CI47" t="e">
        <f>AND('5A'!#REF!,"AAAAAHy2ZVY=")</f>
        <v>#REF!</v>
      </c>
      <c r="CJ47" t="e">
        <f>AND('5A'!#REF!,"AAAAAHy2ZVc=")</f>
        <v>#REF!</v>
      </c>
      <c r="CK47" t="e">
        <f>AND('5A'!#REF!,"AAAAAHy2ZVg=")</f>
        <v>#REF!</v>
      </c>
      <c r="CL47" t="e">
        <f>AND('5A'!#REF!,"AAAAAHy2ZVk=")</f>
        <v>#REF!</v>
      </c>
      <c r="CM47" t="e">
        <f>AND('5A'!#REF!,"AAAAAHy2ZVo=")</f>
        <v>#REF!</v>
      </c>
      <c r="CN47" t="e">
        <f>AND('5A'!#REF!,"AAAAAHy2ZVs=")</f>
        <v>#REF!</v>
      </c>
      <c r="CO47" t="e">
        <f>IF('5A'!#REF!,"AAAAAHy2ZVw=",0)</f>
        <v>#REF!</v>
      </c>
      <c r="CP47" t="e">
        <f>AND('5A'!#REF!,"AAAAAHy2ZV0=")</f>
        <v>#REF!</v>
      </c>
      <c r="CQ47" t="e">
        <f>AND('5A'!#REF!,"AAAAAHy2ZV4=")</f>
        <v>#REF!</v>
      </c>
      <c r="CR47" t="e">
        <f>AND('5A'!#REF!,"AAAAAHy2ZV8=")</f>
        <v>#REF!</v>
      </c>
      <c r="CS47" t="e">
        <f>AND('5A'!#REF!,"AAAAAHy2ZWA=")</f>
        <v>#REF!</v>
      </c>
      <c r="CT47" t="e">
        <f>AND('5A'!#REF!,"AAAAAHy2ZWE=")</f>
        <v>#REF!</v>
      </c>
      <c r="CU47" t="e">
        <f>AND('5A'!#REF!,"AAAAAHy2ZWI=")</f>
        <v>#REF!</v>
      </c>
      <c r="CV47" t="e">
        <f>AND('5A'!#REF!,"AAAAAHy2ZWM=")</f>
        <v>#REF!</v>
      </c>
      <c r="CW47" t="e">
        <f>AND('5A'!#REF!,"AAAAAHy2ZWQ=")</f>
        <v>#REF!</v>
      </c>
      <c r="CX47" t="e">
        <f>AND('5A'!#REF!,"AAAAAHy2ZWU=")</f>
        <v>#REF!</v>
      </c>
      <c r="CY47" t="e">
        <f>AND('5A'!#REF!,"AAAAAHy2ZWY=")</f>
        <v>#REF!</v>
      </c>
      <c r="CZ47" t="e">
        <f>AND('5A'!#REF!,"AAAAAHy2ZWc=")</f>
        <v>#REF!</v>
      </c>
      <c r="DA47" t="e">
        <f>AND('5A'!#REF!,"AAAAAHy2ZWg=")</f>
        <v>#REF!</v>
      </c>
      <c r="DB47" t="e">
        <f>AND('5A'!#REF!,"AAAAAHy2ZWk=")</f>
        <v>#REF!</v>
      </c>
      <c r="DC47" t="e">
        <f>AND('5A'!#REF!,"AAAAAHy2ZWo=")</f>
        <v>#REF!</v>
      </c>
      <c r="DD47" t="e">
        <f>AND('5A'!#REF!,"AAAAAHy2ZWs=")</f>
        <v>#REF!</v>
      </c>
      <c r="DE47" t="e">
        <f>AND('5A'!#REF!,"AAAAAHy2ZWw=")</f>
        <v>#REF!</v>
      </c>
      <c r="DF47" t="e">
        <f>IF('5A'!#REF!,"AAAAAHy2ZW0=",0)</f>
        <v>#REF!</v>
      </c>
      <c r="DG47" t="e">
        <f>AND('5A'!#REF!,"AAAAAHy2ZW4=")</f>
        <v>#REF!</v>
      </c>
      <c r="DH47" t="e">
        <f>AND('5A'!#REF!,"AAAAAHy2ZW8=")</f>
        <v>#REF!</v>
      </c>
      <c r="DI47" t="e">
        <f>AND('5A'!#REF!,"AAAAAHy2ZXA=")</f>
        <v>#REF!</v>
      </c>
      <c r="DJ47" t="e">
        <f>AND('5A'!#REF!,"AAAAAHy2ZXE=")</f>
        <v>#REF!</v>
      </c>
      <c r="DK47" t="e">
        <f>AND('5A'!#REF!,"AAAAAHy2ZXI=")</f>
        <v>#REF!</v>
      </c>
      <c r="DL47" t="e">
        <f>AND('5A'!#REF!,"AAAAAHy2ZXM=")</f>
        <v>#REF!</v>
      </c>
      <c r="DM47" t="e">
        <f>AND('5A'!#REF!,"AAAAAHy2ZXQ=")</f>
        <v>#REF!</v>
      </c>
      <c r="DN47" t="e">
        <f>AND('5A'!#REF!,"AAAAAHy2ZXU=")</f>
        <v>#REF!</v>
      </c>
      <c r="DO47" t="e">
        <f>AND('5A'!#REF!,"AAAAAHy2ZXY=")</f>
        <v>#REF!</v>
      </c>
      <c r="DP47" t="e">
        <f>AND('5A'!#REF!,"AAAAAHy2ZXc=")</f>
        <v>#REF!</v>
      </c>
      <c r="DQ47" t="e">
        <f>AND('5A'!#REF!,"AAAAAHy2ZXg=")</f>
        <v>#REF!</v>
      </c>
      <c r="DR47" t="e">
        <f>AND('5A'!#REF!,"AAAAAHy2ZXk=")</f>
        <v>#REF!</v>
      </c>
      <c r="DS47" t="e">
        <f>AND('5A'!#REF!,"AAAAAHy2ZXo=")</f>
        <v>#REF!</v>
      </c>
      <c r="DT47" t="e">
        <f>AND('5A'!#REF!,"AAAAAHy2ZXs=")</f>
        <v>#REF!</v>
      </c>
      <c r="DU47" t="e">
        <f>AND('5A'!#REF!,"AAAAAHy2ZXw=")</f>
        <v>#REF!</v>
      </c>
      <c r="DV47" t="e">
        <f>AND('5A'!#REF!,"AAAAAHy2ZX0=")</f>
        <v>#REF!</v>
      </c>
      <c r="DW47" t="e">
        <f>IF('5A'!#REF!,"AAAAAHy2ZX4=",0)</f>
        <v>#REF!</v>
      </c>
      <c r="DX47" t="e">
        <f>AND('5A'!#REF!,"AAAAAHy2ZX8=")</f>
        <v>#REF!</v>
      </c>
      <c r="DY47" t="e">
        <f>AND('5A'!#REF!,"AAAAAHy2ZYA=")</f>
        <v>#REF!</v>
      </c>
      <c r="DZ47" t="e">
        <f>AND('5A'!#REF!,"AAAAAHy2ZYE=")</f>
        <v>#REF!</v>
      </c>
      <c r="EA47" t="e">
        <f>AND('5A'!#REF!,"AAAAAHy2ZYI=")</f>
        <v>#REF!</v>
      </c>
      <c r="EB47" t="e">
        <f>AND('5A'!#REF!,"AAAAAHy2ZYM=")</f>
        <v>#REF!</v>
      </c>
      <c r="EC47" t="e">
        <f>AND('5A'!#REF!,"AAAAAHy2ZYQ=")</f>
        <v>#REF!</v>
      </c>
      <c r="ED47" t="e">
        <f>AND('5A'!#REF!,"AAAAAHy2ZYU=")</f>
        <v>#REF!</v>
      </c>
      <c r="EE47" t="e">
        <f>AND('5A'!#REF!,"AAAAAHy2ZYY=")</f>
        <v>#REF!</v>
      </c>
      <c r="EF47" t="e">
        <f>AND('5A'!#REF!,"AAAAAHy2ZYc=")</f>
        <v>#REF!</v>
      </c>
      <c r="EG47" t="e">
        <f>AND('5A'!#REF!,"AAAAAHy2ZYg=")</f>
        <v>#REF!</v>
      </c>
      <c r="EH47" t="e">
        <f>AND('5A'!#REF!,"AAAAAHy2ZYk=")</f>
        <v>#REF!</v>
      </c>
      <c r="EI47" t="e">
        <f>AND('5A'!#REF!,"AAAAAHy2ZYo=")</f>
        <v>#REF!</v>
      </c>
      <c r="EJ47" t="e">
        <f>AND('5A'!#REF!,"AAAAAHy2ZYs=")</f>
        <v>#REF!</v>
      </c>
      <c r="EK47" t="e">
        <f>AND('5A'!#REF!,"AAAAAHy2ZYw=")</f>
        <v>#REF!</v>
      </c>
      <c r="EL47" t="e">
        <f>AND('5A'!#REF!,"AAAAAHy2ZY0=")</f>
        <v>#REF!</v>
      </c>
      <c r="EM47" t="e">
        <f>AND('5A'!#REF!,"AAAAAHy2ZY4=")</f>
        <v>#REF!</v>
      </c>
      <c r="EN47" t="e">
        <f>IF('5A'!#REF!,"AAAAAHy2ZY8=",0)</f>
        <v>#REF!</v>
      </c>
      <c r="EO47" t="e">
        <f>AND('5A'!#REF!,"AAAAAHy2ZZA=")</f>
        <v>#REF!</v>
      </c>
      <c r="EP47" t="e">
        <f>AND('5A'!#REF!,"AAAAAHy2ZZE=")</f>
        <v>#REF!</v>
      </c>
      <c r="EQ47" t="e">
        <f>AND('5A'!#REF!,"AAAAAHy2ZZI=")</f>
        <v>#REF!</v>
      </c>
      <c r="ER47" t="e">
        <f>AND('5A'!#REF!,"AAAAAHy2ZZM=")</f>
        <v>#REF!</v>
      </c>
      <c r="ES47" t="e">
        <f>AND('5A'!#REF!,"AAAAAHy2ZZQ=")</f>
        <v>#REF!</v>
      </c>
      <c r="ET47" t="e">
        <f>AND('5A'!#REF!,"AAAAAHy2ZZU=")</f>
        <v>#REF!</v>
      </c>
      <c r="EU47" t="e">
        <f>AND('5A'!#REF!,"AAAAAHy2ZZY=")</f>
        <v>#REF!</v>
      </c>
      <c r="EV47" t="e">
        <f>AND('5A'!#REF!,"AAAAAHy2ZZc=")</f>
        <v>#REF!</v>
      </c>
      <c r="EW47" t="e">
        <f>AND('5A'!#REF!,"AAAAAHy2ZZg=")</f>
        <v>#REF!</v>
      </c>
      <c r="EX47" t="e">
        <f>AND('5A'!#REF!,"AAAAAHy2ZZk=")</f>
        <v>#REF!</v>
      </c>
      <c r="EY47" t="e">
        <f>AND('5A'!#REF!,"AAAAAHy2ZZo=")</f>
        <v>#REF!</v>
      </c>
      <c r="EZ47" t="e">
        <f>AND('5A'!#REF!,"AAAAAHy2ZZs=")</f>
        <v>#REF!</v>
      </c>
      <c r="FA47" t="e">
        <f>AND('5A'!#REF!,"AAAAAHy2ZZw=")</f>
        <v>#REF!</v>
      </c>
      <c r="FB47" t="e">
        <f>AND('5A'!#REF!,"AAAAAHy2ZZ0=")</f>
        <v>#REF!</v>
      </c>
      <c r="FC47" t="e">
        <f>AND('5A'!#REF!,"AAAAAHy2ZZ4=")</f>
        <v>#REF!</v>
      </c>
      <c r="FD47" t="e">
        <f>AND('5A'!#REF!,"AAAAAHy2ZZ8=")</f>
        <v>#REF!</v>
      </c>
      <c r="FE47" t="e">
        <f>IF('5A'!#REF!,"AAAAAHy2ZaA=",0)</f>
        <v>#REF!</v>
      </c>
      <c r="FF47" t="e">
        <f>AND('5A'!#REF!,"AAAAAHy2ZaE=")</f>
        <v>#REF!</v>
      </c>
      <c r="FG47" t="e">
        <f>AND('5A'!#REF!,"AAAAAHy2ZaI=")</f>
        <v>#REF!</v>
      </c>
      <c r="FH47" t="e">
        <f>AND('5A'!#REF!,"AAAAAHy2ZaM=")</f>
        <v>#REF!</v>
      </c>
      <c r="FI47" t="e">
        <f>AND('5A'!#REF!,"AAAAAHy2ZaQ=")</f>
        <v>#REF!</v>
      </c>
      <c r="FJ47" t="e">
        <f>AND('5A'!#REF!,"AAAAAHy2ZaU=")</f>
        <v>#REF!</v>
      </c>
      <c r="FK47" t="e">
        <f>AND('5A'!#REF!,"AAAAAHy2ZaY=")</f>
        <v>#REF!</v>
      </c>
      <c r="FL47" t="e">
        <f>AND('5A'!#REF!,"AAAAAHy2Zac=")</f>
        <v>#REF!</v>
      </c>
      <c r="FM47" t="e">
        <f>AND('5A'!#REF!,"AAAAAHy2Zag=")</f>
        <v>#REF!</v>
      </c>
      <c r="FN47" t="e">
        <f>AND('5A'!#REF!,"AAAAAHy2Zak=")</f>
        <v>#REF!</v>
      </c>
      <c r="FO47" t="e">
        <f>AND('5A'!#REF!,"AAAAAHy2Zao=")</f>
        <v>#REF!</v>
      </c>
      <c r="FP47" t="e">
        <f>AND('5A'!#REF!,"AAAAAHy2Zas=")</f>
        <v>#REF!</v>
      </c>
      <c r="FQ47" t="e">
        <f>AND('5A'!#REF!,"AAAAAHy2Zaw=")</f>
        <v>#REF!</v>
      </c>
      <c r="FR47" t="e">
        <f>AND('5A'!#REF!,"AAAAAHy2Za0=")</f>
        <v>#REF!</v>
      </c>
      <c r="FS47" t="e">
        <f>AND('5A'!#REF!,"AAAAAHy2Za4=")</f>
        <v>#REF!</v>
      </c>
      <c r="FT47" t="e">
        <f>AND('5A'!#REF!,"AAAAAHy2Za8=")</f>
        <v>#REF!</v>
      </c>
      <c r="FU47" t="e">
        <f>AND('5A'!#REF!,"AAAAAHy2ZbA=")</f>
        <v>#REF!</v>
      </c>
      <c r="FV47" t="e">
        <f>IF('5A'!#REF!,"AAAAAHy2ZbE=",0)</f>
        <v>#REF!</v>
      </c>
      <c r="FW47" t="e">
        <f>AND('5A'!#REF!,"AAAAAHy2ZbI=")</f>
        <v>#REF!</v>
      </c>
      <c r="FX47" t="e">
        <f>AND('5A'!#REF!,"AAAAAHy2ZbM=")</f>
        <v>#REF!</v>
      </c>
      <c r="FY47" t="e">
        <f>AND('5A'!#REF!,"AAAAAHy2ZbQ=")</f>
        <v>#REF!</v>
      </c>
      <c r="FZ47" t="e">
        <f>AND('5A'!#REF!,"AAAAAHy2ZbU=")</f>
        <v>#REF!</v>
      </c>
      <c r="GA47" t="e">
        <f>AND('5A'!#REF!,"AAAAAHy2ZbY=")</f>
        <v>#REF!</v>
      </c>
      <c r="GB47" t="e">
        <f>AND('5A'!#REF!,"AAAAAHy2Zbc=")</f>
        <v>#REF!</v>
      </c>
      <c r="GC47" t="e">
        <f>AND('5A'!#REF!,"AAAAAHy2Zbg=")</f>
        <v>#REF!</v>
      </c>
      <c r="GD47" t="e">
        <f>AND('5A'!#REF!,"AAAAAHy2Zbk=")</f>
        <v>#REF!</v>
      </c>
      <c r="GE47" t="e">
        <f>AND('5A'!#REF!,"AAAAAHy2Zbo=")</f>
        <v>#REF!</v>
      </c>
      <c r="GF47" t="e">
        <f>AND('5A'!#REF!,"AAAAAHy2Zbs=")</f>
        <v>#REF!</v>
      </c>
      <c r="GG47" t="e">
        <f>AND('5A'!#REF!,"AAAAAHy2Zbw=")</f>
        <v>#REF!</v>
      </c>
      <c r="GH47" t="e">
        <f>AND('5A'!#REF!,"AAAAAHy2Zb0=")</f>
        <v>#REF!</v>
      </c>
      <c r="GI47" t="e">
        <f>AND('5A'!#REF!,"AAAAAHy2Zb4=")</f>
        <v>#REF!</v>
      </c>
      <c r="GJ47" t="e">
        <f>AND('5A'!#REF!,"AAAAAHy2Zb8=")</f>
        <v>#REF!</v>
      </c>
      <c r="GK47" t="e">
        <f>AND('5A'!#REF!,"AAAAAHy2ZcA=")</f>
        <v>#REF!</v>
      </c>
      <c r="GL47" t="e">
        <f>AND('5A'!#REF!,"AAAAAHy2ZcE=")</f>
        <v>#REF!</v>
      </c>
      <c r="GM47" t="e">
        <f>IF('5A'!#REF!,"AAAAAHy2ZcI=",0)</f>
        <v>#REF!</v>
      </c>
      <c r="GN47" t="e">
        <f>AND('5A'!#REF!,"AAAAAHy2ZcM=")</f>
        <v>#REF!</v>
      </c>
      <c r="GO47" t="e">
        <f>AND('5A'!#REF!,"AAAAAHy2ZcQ=")</f>
        <v>#REF!</v>
      </c>
      <c r="GP47" t="e">
        <f>AND('5A'!#REF!,"AAAAAHy2ZcU=")</f>
        <v>#REF!</v>
      </c>
      <c r="GQ47" t="e">
        <f>AND('5A'!#REF!,"AAAAAHy2ZcY=")</f>
        <v>#REF!</v>
      </c>
      <c r="GR47" t="e">
        <f>AND('5A'!#REF!,"AAAAAHy2Zcc=")</f>
        <v>#REF!</v>
      </c>
      <c r="GS47" t="e">
        <f>AND('5A'!#REF!,"AAAAAHy2Zcg=")</f>
        <v>#REF!</v>
      </c>
      <c r="GT47" t="e">
        <f>AND('5A'!#REF!,"AAAAAHy2Zck=")</f>
        <v>#REF!</v>
      </c>
      <c r="GU47" t="e">
        <f>AND('5A'!#REF!,"AAAAAHy2Zco=")</f>
        <v>#REF!</v>
      </c>
      <c r="GV47" t="e">
        <f>AND('5A'!#REF!,"AAAAAHy2Zcs=")</f>
        <v>#REF!</v>
      </c>
      <c r="GW47" t="e">
        <f>AND('5A'!#REF!,"AAAAAHy2Zcw=")</f>
        <v>#REF!</v>
      </c>
      <c r="GX47" t="e">
        <f>AND('5A'!#REF!,"AAAAAHy2Zc0=")</f>
        <v>#REF!</v>
      </c>
      <c r="GY47" t="e">
        <f>AND('5A'!#REF!,"AAAAAHy2Zc4=")</f>
        <v>#REF!</v>
      </c>
      <c r="GZ47" t="e">
        <f>AND('5A'!#REF!,"AAAAAHy2Zc8=")</f>
        <v>#REF!</v>
      </c>
      <c r="HA47" t="e">
        <f>AND('5A'!#REF!,"AAAAAHy2ZdA=")</f>
        <v>#REF!</v>
      </c>
      <c r="HB47" t="e">
        <f>AND('5A'!#REF!,"AAAAAHy2ZdE=")</f>
        <v>#REF!</v>
      </c>
      <c r="HC47" t="e">
        <f>AND('5A'!#REF!,"AAAAAHy2ZdI=")</f>
        <v>#REF!</v>
      </c>
      <c r="HD47" t="e">
        <f>IF('5A'!#REF!,"AAAAAHy2ZdM=",0)</f>
        <v>#REF!</v>
      </c>
      <c r="HE47" t="e">
        <f>AND('5A'!#REF!,"AAAAAHy2ZdQ=")</f>
        <v>#REF!</v>
      </c>
      <c r="HF47" t="e">
        <f>AND('5A'!#REF!,"AAAAAHy2ZdU=")</f>
        <v>#REF!</v>
      </c>
      <c r="HG47" t="e">
        <f>AND('5A'!#REF!,"AAAAAHy2ZdY=")</f>
        <v>#REF!</v>
      </c>
      <c r="HH47" t="e">
        <f>AND('5A'!#REF!,"AAAAAHy2Zdc=")</f>
        <v>#REF!</v>
      </c>
      <c r="HI47" t="e">
        <f>AND('5A'!#REF!,"AAAAAHy2Zdg=")</f>
        <v>#REF!</v>
      </c>
      <c r="HJ47" t="e">
        <f>AND('5A'!#REF!,"AAAAAHy2Zdk=")</f>
        <v>#REF!</v>
      </c>
      <c r="HK47" t="e">
        <f>AND('5A'!#REF!,"AAAAAHy2Zdo=")</f>
        <v>#REF!</v>
      </c>
      <c r="HL47" t="e">
        <f>AND('5A'!#REF!,"AAAAAHy2Zds=")</f>
        <v>#REF!</v>
      </c>
      <c r="HM47" t="e">
        <f>AND('5A'!#REF!,"AAAAAHy2Zdw=")</f>
        <v>#REF!</v>
      </c>
      <c r="HN47" t="e">
        <f>AND('5A'!#REF!,"AAAAAHy2Zd0=")</f>
        <v>#REF!</v>
      </c>
      <c r="HO47" t="e">
        <f>AND('5A'!#REF!,"AAAAAHy2Zd4=")</f>
        <v>#REF!</v>
      </c>
      <c r="HP47" t="e">
        <f>AND('5A'!#REF!,"AAAAAHy2Zd8=")</f>
        <v>#REF!</v>
      </c>
      <c r="HQ47" t="e">
        <f>AND('5A'!#REF!,"AAAAAHy2ZeA=")</f>
        <v>#REF!</v>
      </c>
      <c r="HR47" t="e">
        <f>AND('5A'!#REF!,"AAAAAHy2ZeE=")</f>
        <v>#REF!</v>
      </c>
      <c r="HS47" t="e">
        <f>AND('5A'!#REF!,"AAAAAHy2ZeI=")</f>
        <v>#REF!</v>
      </c>
      <c r="HT47" t="e">
        <f>AND('5A'!#REF!,"AAAAAHy2ZeM=")</f>
        <v>#REF!</v>
      </c>
      <c r="HU47" t="e">
        <f>IF('5A'!#REF!,"AAAAAHy2ZeQ=",0)</f>
        <v>#REF!</v>
      </c>
      <c r="HV47" t="e">
        <f>AND('5A'!#REF!,"AAAAAHy2ZeU=")</f>
        <v>#REF!</v>
      </c>
      <c r="HW47" t="e">
        <f>AND('5A'!#REF!,"AAAAAHy2ZeY=")</f>
        <v>#REF!</v>
      </c>
      <c r="HX47" t="e">
        <f>AND('5A'!#REF!,"AAAAAHy2Zec=")</f>
        <v>#REF!</v>
      </c>
      <c r="HY47" t="e">
        <f>AND('5A'!#REF!,"AAAAAHy2Zeg=")</f>
        <v>#REF!</v>
      </c>
      <c r="HZ47" t="e">
        <f>AND('5A'!#REF!,"AAAAAHy2Zek=")</f>
        <v>#REF!</v>
      </c>
      <c r="IA47" t="e">
        <f>AND('5A'!#REF!,"AAAAAHy2Zeo=")</f>
        <v>#REF!</v>
      </c>
      <c r="IB47" t="e">
        <f>AND('5A'!#REF!,"AAAAAHy2Zes=")</f>
        <v>#REF!</v>
      </c>
      <c r="IC47" t="e">
        <f>AND('5A'!#REF!,"AAAAAHy2Zew=")</f>
        <v>#REF!</v>
      </c>
      <c r="ID47" t="e">
        <f>AND('5A'!#REF!,"AAAAAHy2Ze0=")</f>
        <v>#REF!</v>
      </c>
      <c r="IE47" t="e">
        <f>AND('5A'!#REF!,"AAAAAHy2Ze4=")</f>
        <v>#REF!</v>
      </c>
      <c r="IF47" t="e">
        <f>AND('5A'!#REF!,"AAAAAHy2Ze8=")</f>
        <v>#REF!</v>
      </c>
      <c r="IG47" t="e">
        <f>AND('5A'!#REF!,"AAAAAHy2ZfA=")</f>
        <v>#REF!</v>
      </c>
      <c r="IH47" t="e">
        <f>AND('5A'!#REF!,"AAAAAHy2ZfE=")</f>
        <v>#REF!</v>
      </c>
      <c r="II47" t="e">
        <f>AND('5A'!#REF!,"AAAAAHy2ZfI=")</f>
        <v>#REF!</v>
      </c>
      <c r="IJ47" t="e">
        <f>AND('5A'!#REF!,"AAAAAHy2ZfM=")</f>
        <v>#REF!</v>
      </c>
      <c r="IK47" t="e">
        <f>AND('5A'!#REF!,"AAAAAHy2ZfQ=")</f>
        <v>#REF!</v>
      </c>
      <c r="IL47" t="e">
        <f>IF('5A'!#REF!,"AAAAAHy2ZfU=",0)</f>
        <v>#REF!</v>
      </c>
      <c r="IM47" t="e">
        <f>AND('5A'!#REF!,"AAAAAHy2ZfY=")</f>
        <v>#REF!</v>
      </c>
      <c r="IN47" t="e">
        <f>AND('5A'!#REF!,"AAAAAHy2Zfc=")</f>
        <v>#REF!</v>
      </c>
      <c r="IO47" t="e">
        <f>AND('5A'!#REF!,"AAAAAHy2Zfg=")</f>
        <v>#REF!</v>
      </c>
      <c r="IP47" t="e">
        <f>AND('5A'!#REF!,"AAAAAHy2Zfk=")</f>
        <v>#REF!</v>
      </c>
      <c r="IQ47" t="e">
        <f>AND('5A'!#REF!,"AAAAAHy2Zfo=")</f>
        <v>#REF!</v>
      </c>
      <c r="IR47" t="e">
        <f>AND('5A'!#REF!,"AAAAAHy2Zfs=")</f>
        <v>#REF!</v>
      </c>
      <c r="IS47" t="e">
        <f>AND('5A'!#REF!,"AAAAAHy2Zfw=")</f>
        <v>#REF!</v>
      </c>
      <c r="IT47" t="e">
        <f>AND('5A'!#REF!,"AAAAAHy2Zf0=")</f>
        <v>#REF!</v>
      </c>
      <c r="IU47" t="e">
        <f>AND('5A'!#REF!,"AAAAAHy2Zf4=")</f>
        <v>#REF!</v>
      </c>
      <c r="IV47" t="e">
        <f>AND('5A'!#REF!,"AAAAAHy2Zf8=")</f>
        <v>#REF!</v>
      </c>
    </row>
    <row r="48" spans="1:256" x14ac:dyDescent="0.25">
      <c r="A48" t="e">
        <f>AND('5A'!#REF!,"AAAAAD1ftQA=")</f>
        <v>#REF!</v>
      </c>
      <c r="B48" t="e">
        <f>AND('5A'!#REF!,"AAAAAD1ftQE=")</f>
        <v>#REF!</v>
      </c>
      <c r="C48" t="e">
        <f>AND('5A'!#REF!,"AAAAAD1ftQI=")</f>
        <v>#REF!</v>
      </c>
      <c r="D48" t="e">
        <f>AND('5A'!#REF!,"AAAAAD1ftQM=")</f>
        <v>#REF!</v>
      </c>
      <c r="E48" t="e">
        <f>AND('5A'!#REF!,"AAAAAD1ftQQ=")</f>
        <v>#REF!</v>
      </c>
      <c r="F48" t="e">
        <f>AND('5A'!#REF!,"AAAAAD1ftQU=")</f>
        <v>#REF!</v>
      </c>
      <c r="G48" t="e">
        <f>IF('5A'!#REF!,"AAAAAD1ftQY=",0)</f>
        <v>#REF!</v>
      </c>
      <c r="H48" t="e">
        <f>AND('5A'!#REF!,"AAAAAD1ftQc=")</f>
        <v>#REF!</v>
      </c>
      <c r="I48" t="e">
        <f>AND('5A'!#REF!,"AAAAAD1ftQg=")</f>
        <v>#REF!</v>
      </c>
      <c r="J48" t="e">
        <f>AND('5A'!#REF!,"AAAAAD1ftQk=")</f>
        <v>#REF!</v>
      </c>
      <c r="K48" t="e">
        <f>AND('5A'!#REF!,"AAAAAD1ftQo=")</f>
        <v>#REF!</v>
      </c>
      <c r="L48" t="e">
        <f>AND('5A'!#REF!,"AAAAAD1ftQs=")</f>
        <v>#REF!</v>
      </c>
      <c r="M48" t="e">
        <f>AND('5A'!#REF!,"AAAAAD1ftQw=")</f>
        <v>#REF!</v>
      </c>
      <c r="N48" t="e">
        <f>AND('5A'!#REF!,"AAAAAD1ftQ0=")</f>
        <v>#REF!</v>
      </c>
      <c r="O48" t="e">
        <f>AND('5A'!#REF!,"AAAAAD1ftQ4=")</f>
        <v>#REF!</v>
      </c>
      <c r="P48" t="e">
        <f>AND('5A'!#REF!,"AAAAAD1ftQ8=")</f>
        <v>#REF!</v>
      </c>
      <c r="Q48" t="e">
        <f>AND('5A'!#REF!,"AAAAAD1ftRA=")</f>
        <v>#REF!</v>
      </c>
      <c r="R48" t="e">
        <f>AND('5A'!#REF!,"AAAAAD1ftRE=")</f>
        <v>#REF!</v>
      </c>
      <c r="S48" t="e">
        <f>AND('5A'!#REF!,"AAAAAD1ftRI=")</f>
        <v>#REF!</v>
      </c>
      <c r="T48" t="e">
        <f>AND('5A'!#REF!,"AAAAAD1ftRM=")</f>
        <v>#REF!</v>
      </c>
      <c r="U48" t="e">
        <f>AND('5A'!#REF!,"AAAAAD1ftRQ=")</f>
        <v>#REF!</v>
      </c>
      <c r="V48" t="e">
        <f>AND('5A'!#REF!,"AAAAAD1ftRU=")</f>
        <v>#REF!</v>
      </c>
      <c r="W48" t="e">
        <f>AND('5A'!#REF!,"AAAAAD1ftRY=")</f>
        <v>#REF!</v>
      </c>
      <c r="X48" t="e">
        <f>IF('5A'!#REF!,"AAAAAD1ftRc=",0)</f>
        <v>#REF!</v>
      </c>
      <c r="Y48" t="e">
        <f>AND('5A'!#REF!,"AAAAAD1ftRg=")</f>
        <v>#REF!</v>
      </c>
      <c r="Z48" t="e">
        <f>AND('5A'!#REF!,"AAAAAD1ftRk=")</f>
        <v>#REF!</v>
      </c>
      <c r="AA48" t="e">
        <f>AND('5A'!#REF!,"AAAAAD1ftRo=")</f>
        <v>#REF!</v>
      </c>
      <c r="AB48" t="e">
        <f>AND('5A'!#REF!,"AAAAAD1ftRs=")</f>
        <v>#REF!</v>
      </c>
      <c r="AC48" t="e">
        <f>AND('5A'!#REF!,"AAAAAD1ftRw=")</f>
        <v>#REF!</v>
      </c>
      <c r="AD48" t="e">
        <f>AND('5A'!#REF!,"AAAAAD1ftR0=")</f>
        <v>#REF!</v>
      </c>
      <c r="AE48" t="e">
        <f>AND('5A'!#REF!,"AAAAAD1ftR4=")</f>
        <v>#REF!</v>
      </c>
      <c r="AF48" t="e">
        <f>AND('5A'!#REF!,"AAAAAD1ftR8=")</f>
        <v>#REF!</v>
      </c>
      <c r="AG48" t="e">
        <f>AND('5A'!#REF!,"AAAAAD1ftSA=")</f>
        <v>#REF!</v>
      </c>
      <c r="AH48" t="e">
        <f>AND('5A'!#REF!,"AAAAAD1ftSE=")</f>
        <v>#REF!</v>
      </c>
      <c r="AI48" t="e">
        <f>AND('5A'!#REF!,"AAAAAD1ftSI=")</f>
        <v>#REF!</v>
      </c>
      <c r="AJ48" t="e">
        <f>AND('5A'!#REF!,"AAAAAD1ftSM=")</f>
        <v>#REF!</v>
      </c>
      <c r="AK48" t="e">
        <f>AND('5A'!#REF!,"AAAAAD1ftSQ=")</f>
        <v>#REF!</v>
      </c>
      <c r="AL48" t="e">
        <f>AND('5A'!#REF!,"AAAAAD1ftSU=")</f>
        <v>#REF!</v>
      </c>
      <c r="AM48" t="e">
        <f>AND('5A'!#REF!,"AAAAAD1ftSY=")</f>
        <v>#REF!</v>
      </c>
      <c r="AN48" t="e">
        <f>AND('5A'!#REF!,"AAAAAD1ftSc=")</f>
        <v>#REF!</v>
      </c>
      <c r="AO48" t="e">
        <f>IF('5A'!#REF!,"AAAAAD1ftSg=",0)</f>
        <v>#REF!</v>
      </c>
      <c r="AP48" t="e">
        <f>AND('5A'!#REF!,"AAAAAD1ftSk=")</f>
        <v>#REF!</v>
      </c>
      <c r="AQ48" t="e">
        <f>AND('5A'!#REF!,"AAAAAD1ftSo=")</f>
        <v>#REF!</v>
      </c>
      <c r="AR48" t="e">
        <f>AND('5A'!#REF!,"AAAAAD1ftSs=")</f>
        <v>#REF!</v>
      </c>
      <c r="AS48" t="e">
        <f>AND('5A'!#REF!,"AAAAAD1ftSw=")</f>
        <v>#REF!</v>
      </c>
      <c r="AT48" t="e">
        <f>AND('5A'!#REF!,"AAAAAD1ftS0=")</f>
        <v>#REF!</v>
      </c>
      <c r="AU48" t="e">
        <f>AND('5A'!#REF!,"AAAAAD1ftS4=")</f>
        <v>#REF!</v>
      </c>
      <c r="AV48" t="e">
        <f>AND('5A'!#REF!,"AAAAAD1ftS8=")</f>
        <v>#REF!</v>
      </c>
      <c r="AW48" t="e">
        <f>AND('5A'!#REF!,"AAAAAD1ftTA=")</f>
        <v>#REF!</v>
      </c>
      <c r="AX48" t="e">
        <f>AND('5A'!#REF!,"AAAAAD1ftTE=")</f>
        <v>#REF!</v>
      </c>
      <c r="AY48" t="e">
        <f>AND('5A'!#REF!,"AAAAAD1ftTI=")</f>
        <v>#REF!</v>
      </c>
      <c r="AZ48" t="e">
        <f>AND('5A'!#REF!,"AAAAAD1ftTM=")</f>
        <v>#REF!</v>
      </c>
      <c r="BA48" t="e">
        <f>AND('5A'!#REF!,"AAAAAD1ftTQ=")</f>
        <v>#REF!</v>
      </c>
      <c r="BB48" t="e">
        <f>AND('5A'!#REF!,"AAAAAD1ftTU=")</f>
        <v>#REF!</v>
      </c>
      <c r="BC48" t="e">
        <f>AND('5A'!#REF!,"AAAAAD1ftTY=")</f>
        <v>#REF!</v>
      </c>
      <c r="BD48" t="e">
        <f>AND('5A'!#REF!,"AAAAAD1ftTc=")</f>
        <v>#REF!</v>
      </c>
      <c r="BE48" t="e">
        <f>AND('5A'!#REF!,"AAAAAD1ftTg=")</f>
        <v>#REF!</v>
      </c>
      <c r="BF48" t="e">
        <f>IF('5A'!#REF!,"AAAAAD1ftTk=",0)</f>
        <v>#REF!</v>
      </c>
      <c r="BG48" t="e">
        <f>AND('5A'!#REF!,"AAAAAD1ftTo=")</f>
        <v>#REF!</v>
      </c>
      <c r="BH48" t="e">
        <f>AND('5A'!#REF!,"AAAAAD1ftTs=")</f>
        <v>#REF!</v>
      </c>
      <c r="BI48" t="e">
        <f>AND('5A'!#REF!,"AAAAAD1ftTw=")</f>
        <v>#REF!</v>
      </c>
      <c r="BJ48" t="e">
        <f>AND('5A'!#REF!,"AAAAAD1ftT0=")</f>
        <v>#REF!</v>
      </c>
      <c r="BK48" t="e">
        <f>AND('5A'!#REF!,"AAAAAD1ftT4=")</f>
        <v>#REF!</v>
      </c>
      <c r="BL48" t="e">
        <f>AND('5A'!#REF!,"AAAAAD1ftT8=")</f>
        <v>#REF!</v>
      </c>
      <c r="BM48" t="e">
        <f>AND('5A'!#REF!,"AAAAAD1ftUA=")</f>
        <v>#REF!</v>
      </c>
      <c r="BN48" t="e">
        <f>AND('5A'!#REF!,"AAAAAD1ftUE=")</f>
        <v>#REF!</v>
      </c>
      <c r="BO48" t="e">
        <f>AND('5A'!#REF!,"AAAAAD1ftUI=")</f>
        <v>#REF!</v>
      </c>
      <c r="BP48" t="e">
        <f>AND('5A'!#REF!,"AAAAAD1ftUM=")</f>
        <v>#REF!</v>
      </c>
      <c r="BQ48" t="e">
        <f>AND('5A'!#REF!,"AAAAAD1ftUQ=")</f>
        <v>#REF!</v>
      </c>
      <c r="BR48" t="e">
        <f>AND('5A'!#REF!,"AAAAAD1ftUU=")</f>
        <v>#REF!</v>
      </c>
      <c r="BS48" t="e">
        <f>AND('5A'!#REF!,"AAAAAD1ftUY=")</f>
        <v>#REF!</v>
      </c>
      <c r="BT48" t="e">
        <f>AND('5A'!#REF!,"AAAAAD1ftUc=")</f>
        <v>#REF!</v>
      </c>
      <c r="BU48" t="e">
        <f>AND('5A'!#REF!,"AAAAAD1ftUg=")</f>
        <v>#REF!</v>
      </c>
      <c r="BV48" t="e">
        <f>AND('5A'!#REF!,"AAAAAD1ftUk=")</f>
        <v>#REF!</v>
      </c>
      <c r="BW48" t="e">
        <f>IF('5A'!#REF!,"AAAAAD1ftUo=",0)</f>
        <v>#REF!</v>
      </c>
      <c r="BX48" t="e">
        <f>AND('5A'!#REF!,"AAAAAD1ftUs=")</f>
        <v>#REF!</v>
      </c>
      <c r="BY48" t="e">
        <f>AND('5A'!#REF!,"AAAAAD1ftUw=")</f>
        <v>#REF!</v>
      </c>
      <c r="BZ48" t="e">
        <f>AND('5A'!#REF!,"AAAAAD1ftU0=")</f>
        <v>#REF!</v>
      </c>
      <c r="CA48" t="e">
        <f>AND('5A'!#REF!,"AAAAAD1ftU4=")</f>
        <v>#REF!</v>
      </c>
      <c r="CB48" t="e">
        <f>AND('5A'!#REF!,"AAAAAD1ftU8=")</f>
        <v>#REF!</v>
      </c>
      <c r="CC48" t="e">
        <f>AND('5A'!#REF!,"AAAAAD1ftVA=")</f>
        <v>#REF!</v>
      </c>
      <c r="CD48" t="e">
        <f>AND('5A'!#REF!,"AAAAAD1ftVE=")</f>
        <v>#REF!</v>
      </c>
      <c r="CE48" t="e">
        <f>AND('5A'!#REF!,"AAAAAD1ftVI=")</f>
        <v>#REF!</v>
      </c>
      <c r="CF48" t="e">
        <f>AND('5A'!#REF!,"AAAAAD1ftVM=")</f>
        <v>#REF!</v>
      </c>
      <c r="CG48" t="e">
        <f>AND('5A'!#REF!,"AAAAAD1ftVQ=")</f>
        <v>#REF!</v>
      </c>
      <c r="CH48" t="e">
        <f>AND('5A'!#REF!,"AAAAAD1ftVU=")</f>
        <v>#REF!</v>
      </c>
      <c r="CI48" t="e">
        <f>AND('5A'!#REF!,"AAAAAD1ftVY=")</f>
        <v>#REF!</v>
      </c>
      <c r="CJ48" t="e">
        <f>AND('5A'!#REF!,"AAAAAD1ftVc=")</f>
        <v>#REF!</v>
      </c>
      <c r="CK48" t="e">
        <f>AND('5A'!#REF!,"AAAAAD1ftVg=")</f>
        <v>#REF!</v>
      </c>
      <c r="CL48" t="e">
        <f>AND('5A'!#REF!,"AAAAAD1ftVk=")</f>
        <v>#REF!</v>
      </c>
      <c r="CM48" t="e">
        <f>AND('5A'!#REF!,"AAAAAD1ftVo=")</f>
        <v>#REF!</v>
      </c>
      <c r="CN48" t="e">
        <f>IF('5A'!#REF!,"AAAAAD1ftVs=",0)</f>
        <v>#REF!</v>
      </c>
      <c r="CO48" t="e">
        <f>AND('5A'!#REF!,"AAAAAD1ftVw=")</f>
        <v>#REF!</v>
      </c>
      <c r="CP48" t="e">
        <f>AND('5A'!#REF!,"AAAAAD1ftV0=")</f>
        <v>#REF!</v>
      </c>
      <c r="CQ48" t="e">
        <f>AND('5A'!#REF!,"AAAAAD1ftV4=")</f>
        <v>#REF!</v>
      </c>
      <c r="CR48" t="e">
        <f>AND('5A'!#REF!,"AAAAAD1ftV8=")</f>
        <v>#REF!</v>
      </c>
      <c r="CS48" t="e">
        <f>AND('5A'!#REF!,"AAAAAD1ftWA=")</f>
        <v>#REF!</v>
      </c>
      <c r="CT48" t="e">
        <f>AND('5A'!#REF!,"AAAAAD1ftWE=")</f>
        <v>#REF!</v>
      </c>
      <c r="CU48" t="e">
        <f>AND('5A'!#REF!,"AAAAAD1ftWI=")</f>
        <v>#REF!</v>
      </c>
      <c r="CV48" t="e">
        <f>AND('5A'!#REF!,"AAAAAD1ftWM=")</f>
        <v>#REF!</v>
      </c>
      <c r="CW48" t="e">
        <f>AND('5A'!#REF!,"AAAAAD1ftWQ=")</f>
        <v>#REF!</v>
      </c>
      <c r="CX48" t="e">
        <f>AND('5A'!#REF!,"AAAAAD1ftWU=")</f>
        <v>#REF!</v>
      </c>
      <c r="CY48" t="e">
        <f>AND('5A'!#REF!,"AAAAAD1ftWY=")</f>
        <v>#REF!</v>
      </c>
      <c r="CZ48" t="e">
        <f>AND('5A'!#REF!,"AAAAAD1ftWc=")</f>
        <v>#REF!</v>
      </c>
      <c r="DA48" t="e">
        <f>AND('5A'!#REF!,"AAAAAD1ftWg=")</f>
        <v>#REF!</v>
      </c>
      <c r="DB48" t="e">
        <f>AND('5A'!#REF!,"AAAAAD1ftWk=")</f>
        <v>#REF!</v>
      </c>
      <c r="DC48" t="e">
        <f>AND('5A'!#REF!,"AAAAAD1ftWo=")</f>
        <v>#REF!</v>
      </c>
      <c r="DD48" t="e">
        <f>AND('5A'!#REF!,"AAAAAD1ftWs=")</f>
        <v>#REF!</v>
      </c>
      <c r="DE48" t="e">
        <f>IF('5A'!#REF!,"AAAAAD1ftWw=",0)</f>
        <v>#REF!</v>
      </c>
      <c r="DF48" t="e">
        <f>AND('5A'!#REF!,"AAAAAD1ftW0=")</f>
        <v>#REF!</v>
      </c>
      <c r="DG48" t="e">
        <f>AND('5A'!#REF!,"AAAAAD1ftW4=")</f>
        <v>#REF!</v>
      </c>
      <c r="DH48" t="e">
        <f>AND('5A'!#REF!,"AAAAAD1ftW8=")</f>
        <v>#REF!</v>
      </c>
      <c r="DI48" t="e">
        <f>AND('5A'!#REF!,"AAAAAD1ftXA=")</f>
        <v>#REF!</v>
      </c>
      <c r="DJ48" t="e">
        <f>AND('5A'!#REF!,"AAAAAD1ftXE=")</f>
        <v>#REF!</v>
      </c>
      <c r="DK48" t="e">
        <f>AND('5A'!#REF!,"AAAAAD1ftXI=")</f>
        <v>#REF!</v>
      </c>
      <c r="DL48" t="e">
        <f>AND('5A'!#REF!,"AAAAAD1ftXM=")</f>
        <v>#REF!</v>
      </c>
      <c r="DM48" t="e">
        <f>AND('5A'!#REF!,"AAAAAD1ftXQ=")</f>
        <v>#REF!</v>
      </c>
      <c r="DN48" t="e">
        <f>AND('5A'!#REF!,"AAAAAD1ftXU=")</f>
        <v>#REF!</v>
      </c>
      <c r="DO48" t="e">
        <f>AND('5A'!#REF!,"AAAAAD1ftXY=")</f>
        <v>#REF!</v>
      </c>
      <c r="DP48" t="e">
        <f>AND('5A'!#REF!,"AAAAAD1ftXc=")</f>
        <v>#REF!</v>
      </c>
      <c r="DQ48" t="e">
        <f>AND('5A'!#REF!,"AAAAAD1ftXg=")</f>
        <v>#REF!</v>
      </c>
      <c r="DR48" t="e">
        <f>AND('5A'!#REF!,"AAAAAD1ftXk=")</f>
        <v>#REF!</v>
      </c>
      <c r="DS48" t="e">
        <f>AND('5A'!#REF!,"AAAAAD1ftXo=")</f>
        <v>#REF!</v>
      </c>
      <c r="DT48" t="e">
        <f>AND('5A'!#REF!,"AAAAAD1ftXs=")</f>
        <v>#REF!</v>
      </c>
      <c r="DU48" t="e">
        <f>AND('5A'!#REF!,"AAAAAD1ftXw=")</f>
        <v>#REF!</v>
      </c>
      <c r="DV48" t="e">
        <f>IF('5A'!#REF!,"AAAAAD1ftX0=",0)</f>
        <v>#REF!</v>
      </c>
      <c r="DW48" t="e">
        <f>AND('5A'!#REF!,"AAAAAD1ftX4=")</f>
        <v>#REF!</v>
      </c>
      <c r="DX48" t="e">
        <f>AND('5A'!#REF!,"AAAAAD1ftX8=")</f>
        <v>#REF!</v>
      </c>
      <c r="DY48" t="e">
        <f>AND('5A'!#REF!,"AAAAAD1ftYA=")</f>
        <v>#REF!</v>
      </c>
      <c r="DZ48" t="e">
        <f>AND('5A'!#REF!,"AAAAAD1ftYE=")</f>
        <v>#REF!</v>
      </c>
      <c r="EA48" t="e">
        <f>AND('5A'!#REF!,"AAAAAD1ftYI=")</f>
        <v>#REF!</v>
      </c>
      <c r="EB48" t="e">
        <f>AND('5A'!#REF!,"AAAAAD1ftYM=")</f>
        <v>#REF!</v>
      </c>
      <c r="EC48" t="e">
        <f>AND('5A'!#REF!,"AAAAAD1ftYQ=")</f>
        <v>#REF!</v>
      </c>
      <c r="ED48" t="e">
        <f>AND('5A'!#REF!,"AAAAAD1ftYU=")</f>
        <v>#REF!</v>
      </c>
      <c r="EE48" t="e">
        <f>AND('5A'!#REF!,"AAAAAD1ftYY=")</f>
        <v>#REF!</v>
      </c>
      <c r="EF48" t="e">
        <f>AND('5A'!#REF!,"AAAAAD1ftYc=")</f>
        <v>#REF!</v>
      </c>
      <c r="EG48" t="e">
        <f>AND('5A'!#REF!,"AAAAAD1ftYg=")</f>
        <v>#REF!</v>
      </c>
      <c r="EH48" t="e">
        <f>AND('5A'!#REF!,"AAAAAD1ftYk=")</f>
        <v>#REF!</v>
      </c>
      <c r="EI48" t="e">
        <f>AND('5A'!#REF!,"AAAAAD1ftYo=")</f>
        <v>#REF!</v>
      </c>
      <c r="EJ48" t="e">
        <f>AND('5A'!#REF!,"AAAAAD1ftYs=")</f>
        <v>#REF!</v>
      </c>
      <c r="EK48" t="e">
        <f>AND('5A'!#REF!,"AAAAAD1ftYw=")</f>
        <v>#REF!</v>
      </c>
      <c r="EL48" t="e">
        <f>AND('5A'!#REF!,"AAAAAD1ftY0=")</f>
        <v>#REF!</v>
      </c>
      <c r="EM48" t="e">
        <f>IF('5A'!#REF!,"AAAAAD1ftY4=",0)</f>
        <v>#REF!</v>
      </c>
      <c r="EN48" t="e">
        <f>AND('5A'!#REF!,"AAAAAD1ftY8=")</f>
        <v>#REF!</v>
      </c>
      <c r="EO48" t="e">
        <f>AND('5A'!#REF!,"AAAAAD1ftZA=")</f>
        <v>#REF!</v>
      </c>
      <c r="EP48" t="e">
        <f>AND('5A'!#REF!,"AAAAAD1ftZE=")</f>
        <v>#REF!</v>
      </c>
      <c r="EQ48" t="e">
        <f>AND('5A'!#REF!,"AAAAAD1ftZI=")</f>
        <v>#REF!</v>
      </c>
      <c r="ER48" t="e">
        <f>AND('5A'!#REF!,"AAAAAD1ftZM=")</f>
        <v>#REF!</v>
      </c>
      <c r="ES48" t="e">
        <f>AND('5A'!#REF!,"AAAAAD1ftZQ=")</f>
        <v>#REF!</v>
      </c>
      <c r="ET48" t="e">
        <f>AND('5A'!#REF!,"AAAAAD1ftZU=")</f>
        <v>#REF!</v>
      </c>
      <c r="EU48" t="e">
        <f>AND('5A'!#REF!,"AAAAAD1ftZY=")</f>
        <v>#REF!</v>
      </c>
      <c r="EV48" t="e">
        <f>AND('5A'!#REF!,"AAAAAD1ftZc=")</f>
        <v>#REF!</v>
      </c>
      <c r="EW48" t="e">
        <f>AND('5A'!#REF!,"AAAAAD1ftZg=")</f>
        <v>#REF!</v>
      </c>
      <c r="EX48" t="e">
        <f>AND('5A'!#REF!,"AAAAAD1ftZk=")</f>
        <v>#REF!</v>
      </c>
      <c r="EY48" t="e">
        <f>AND('5A'!#REF!,"AAAAAD1ftZo=")</f>
        <v>#REF!</v>
      </c>
      <c r="EZ48" t="e">
        <f>AND('5A'!#REF!,"AAAAAD1ftZs=")</f>
        <v>#REF!</v>
      </c>
      <c r="FA48" t="e">
        <f>AND('5A'!#REF!,"AAAAAD1ftZw=")</f>
        <v>#REF!</v>
      </c>
      <c r="FB48" t="e">
        <f>AND('5A'!#REF!,"AAAAAD1ftZ0=")</f>
        <v>#REF!</v>
      </c>
      <c r="FC48" t="e">
        <f>AND('5A'!#REF!,"AAAAAD1ftZ4=")</f>
        <v>#REF!</v>
      </c>
      <c r="FD48" t="e">
        <f>IF('5A'!#REF!,"AAAAAD1ftZ8=",0)</f>
        <v>#REF!</v>
      </c>
      <c r="FE48" t="e">
        <f>AND('5A'!#REF!,"AAAAAD1ftaA=")</f>
        <v>#REF!</v>
      </c>
      <c r="FF48" t="e">
        <f>AND('5A'!#REF!,"AAAAAD1ftaE=")</f>
        <v>#REF!</v>
      </c>
      <c r="FG48" t="e">
        <f>AND('5A'!#REF!,"AAAAAD1ftaI=")</f>
        <v>#REF!</v>
      </c>
      <c r="FH48" t="e">
        <f>AND('5A'!#REF!,"AAAAAD1ftaM=")</f>
        <v>#REF!</v>
      </c>
      <c r="FI48" t="e">
        <f>AND('5A'!#REF!,"AAAAAD1ftaQ=")</f>
        <v>#REF!</v>
      </c>
      <c r="FJ48" t="e">
        <f>AND('5A'!#REF!,"AAAAAD1ftaU=")</f>
        <v>#REF!</v>
      </c>
      <c r="FK48" t="e">
        <f>AND('5A'!#REF!,"AAAAAD1ftaY=")</f>
        <v>#REF!</v>
      </c>
      <c r="FL48" t="e">
        <f>AND('5A'!#REF!,"AAAAAD1ftac=")</f>
        <v>#REF!</v>
      </c>
      <c r="FM48" t="e">
        <f>AND('5A'!#REF!,"AAAAAD1ftag=")</f>
        <v>#REF!</v>
      </c>
      <c r="FN48" t="e">
        <f>AND('5A'!#REF!,"AAAAAD1ftak=")</f>
        <v>#REF!</v>
      </c>
      <c r="FO48" t="e">
        <f>AND('5A'!#REF!,"AAAAAD1ftao=")</f>
        <v>#REF!</v>
      </c>
      <c r="FP48" t="e">
        <f>AND('5A'!#REF!,"AAAAAD1ftas=")</f>
        <v>#REF!</v>
      </c>
      <c r="FQ48" t="e">
        <f>AND('5A'!#REF!,"AAAAAD1ftaw=")</f>
        <v>#REF!</v>
      </c>
      <c r="FR48" t="e">
        <f>AND('5A'!#REF!,"AAAAAD1fta0=")</f>
        <v>#REF!</v>
      </c>
      <c r="FS48" t="e">
        <f>AND('5A'!#REF!,"AAAAAD1fta4=")</f>
        <v>#REF!</v>
      </c>
      <c r="FT48" t="e">
        <f>AND('5A'!#REF!,"AAAAAD1fta8=")</f>
        <v>#REF!</v>
      </c>
      <c r="FU48" t="e">
        <f>IF('5A'!#REF!,"AAAAAD1ftbA=",0)</f>
        <v>#REF!</v>
      </c>
      <c r="FV48" t="e">
        <f>AND('5A'!#REF!,"AAAAAD1ftbE=")</f>
        <v>#REF!</v>
      </c>
      <c r="FW48" t="e">
        <f>AND('5A'!#REF!,"AAAAAD1ftbI=")</f>
        <v>#REF!</v>
      </c>
      <c r="FX48" t="e">
        <f>AND('5A'!#REF!,"AAAAAD1ftbM=")</f>
        <v>#REF!</v>
      </c>
      <c r="FY48" t="e">
        <f>AND('5A'!#REF!,"AAAAAD1ftbQ=")</f>
        <v>#REF!</v>
      </c>
      <c r="FZ48" t="e">
        <f>AND('5A'!#REF!,"AAAAAD1ftbU=")</f>
        <v>#REF!</v>
      </c>
      <c r="GA48" t="e">
        <f>AND('5A'!#REF!,"AAAAAD1ftbY=")</f>
        <v>#REF!</v>
      </c>
      <c r="GB48" t="e">
        <f>AND('5A'!#REF!,"AAAAAD1ftbc=")</f>
        <v>#REF!</v>
      </c>
      <c r="GC48" t="e">
        <f>AND('5A'!#REF!,"AAAAAD1ftbg=")</f>
        <v>#REF!</v>
      </c>
      <c r="GD48" t="e">
        <f>AND('5A'!#REF!,"AAAAAD1ftbk=")</f>
        <v>#REF!</v>
      </c>
      <c r="GE48" t="e">
        <f>AND('5A'!#REF!,"AAAAAD1ftbo=")</f>
        <v>#REF!</v>
      </c>
      <c r="GF48" t="e">
        <f>AND('5A'!#REF!,"AAAAAD1ftbs=")</f>
        <v>#REF!</v>
      </c>
      <c r="GG48" t="e">
        <f>AND('5A'!#REF!,"AAAAAD1ftbw=")</f>
        <v>#REF!</v>
      </c>
      <c r="GH48" t="e">
        <f>AND('5A'!#REF!,"AAAAAD1ftb0=")</f>
        <v>#REF!</v>
      </c>
      <c r="GI48" t="e">
        <f>AND('5A'!#REF!,"AAAAAD1ftb4=")</f>
        <v>#REF!</v>
      </c>
      <c r="GJ48" t="e">
        <f>AND('5A'!#REF!,"AAAAAD1ftb8=")</f>
        <v>#REF!</v>
      </c>
      <c r="GK48" t="e">
        <f>AND('5A'!#REF!,"AAAAAD1ftcA=")</f>
        <v>#REF!</v>
      </c>
      <c r="GL48" t="e">
        <f>IF('5A'!#REF!,"AAAAAD1ftcE=",0)</f>
        <v>#REF!</v>
      </c>
      <c r="GM48" t="e">
        <f>AND('5A'!#REF!,"AAAAAD1ftcI=")</f>
        <v>#REF!</v>
      </c>
      <c r="GN48" t="e">
        <f>AND('5A'!#REF!,"AAAAAD1ftcM=")</f>
        <v>#REF!</v>
      </c>
      <c r="GO48" t="e">
        <f>AND('5A'!#REF!,"AAAAAD1ftcQ=")</f>
        <v>#REF!</v>
      </c>
      <c r="GP48" t="e">
        <f>AND('5A'!#REF!,"AAAAAD1ftcU=")</f>
        <v>#REF!</v>
      </c>
      <c r="GQ48" t="e">
        <f>AND('5A'!#REF!,"AAAAAD1ftcY=")</f>
        <v>#REF!</v>
      </c>
      <c r="GR48" t="e">
        <f>AND('5A'!#REF!,"AAAAAD1ftcc=")</f>
        <v>#REF!</v>
      </c>
      <c r="GS48" t="e">
        <f>AND('5A'!#REF!,"AAAAAD1ftcg=")</f>
        <v>#REF!</v>
      </c>
      <c r="GT48" t="e">
        <f>AND('5A'!#REF!,"AAAAAD1ftck=")</f>
        <v>#REF!</v>
      </c>
      <c r="GU48" t="e">
        <f>AND('5A'!#REF!,"AAAAAD1ftco=")</f>
        <v>#REF!</v>
      </c>
      <c r="GV48" t="e">
        <f>AND('5A'!#REF!,"AAAAAD1ftcs=")</f>
        <v>#REF!</v>
      </c>
      <c r="GW48" t="e">
        <f>AND('5A'!#REF!,"AAAAAD1ftcw=")</f>
        <v>#REF!</v>
      </c>
      <c r="GX48" t="e">
        <f>AND('5A'!#REF!,"AAAAAD1ftc0=")</f>
        <v>#REF!</v>
      </c>
      <c r="GY48" t="e">
        <f>AND('5A'!#REF!,"AAAAAD1ftc4=")</f>
        <v>#REF!</v>
      </c>
      <c r="GZ48" t="e">
        <f>AND('5A'!#REF!,"AAAAAD1ftc8=")</f>
        <v>#REF!</v>
      </c>
      <c r="HA48" t="e">
        <f>AND('5A'!#REF!,"AAAAAD1ftdA=")</f>
        <v>#REF!</v>
      </c>
      <c r="HB48" t="e">
        <f>AND('5A'!#REF!,"AAAAAD1ftdE=")</f>
        <v>#REF!</v>
      </c>
      <c r="HC48" t="e">
        <f>IF('5A'!#REF!,"AAAAAD1ftdI=",0)</f>
        <v>#REF!</v>
      </c>
      <c r="HD48" t="e">
        <f>AND('5A'!#REF!,"AAAAAD1ftdM=")</f>
        <v>#REF!</v>
      </c>
      <c r="HE48" t="e">
        <f>AND('5A'!#REF!,"AAAAAD1ftdQ=")</f>
        <v>#REF!</v>
      </c>
      <c r="HF48" t="e">
        <f>AND('5A'!#REF!,"AAAAAD1ftdU=")</f>
        <v>#REF!</v>
      </c>
      <c r="HG48" t="e">
        <f>AND('5A'!#REF!,"AAAAAD1ftdY=")</f>
        <v>#REF!</v>
      </c>
      <c r="HH48" t="e">
        <f>AND('5A'!#REF!,"AAAAAD1ftdc=")</f>
        <v>#REF!</v>
      </c>
      <c r="HI48" t="e">
        <f>AND('5A'!#REF!,"AAAAAD1ftdg=")</f>
        <v>#REF!</v>
      </c>
      <c r="HJ48" t="e">
        <f>AND('5A'!#REF!,"AAAAAD1ftdk=")</f>
        <v>#REF!</v>
      </c>
      <c r="HK48" t="e">
        <f>AND('5A'!#REF!,"AAAAAD1ftdo=")</f>
        <v>#REF!</v>
      </c>
      <c r="HL48" t="e">
        <f>AND('5A'!#REF!,"AAAAAD1ftds=")</f>
        <v>#REF!</v>
      </c>
      <c r="HM48" t="e">
        <f>AND('5A'!#REF!,"AAAAAD1ftdw=")</f>
        <v>#REF!</v>
      </c>
      <c r="HN48" t="e">
        <f>AND('5A'!#REF!,"AAAAAD1ftd0=")</f>
        <v>#REF!</v>
      </c>
      <c r="HO48" t="e">
        <f>AND('5A'!#REF!,"AAAAAD1ftd4=")</f>
        <v>#REF!</v>
      </c>
      <c r="HP48" t="e">
        <f>AND('5A'!#REF!,"AAAAAD1ftd8=")</f>
        <v>#REF!</v>
      </c>
      <c r="HQ48" t="e">
        <f>AND('5A'!#REF!,"AAAAAD1fteA=")</f>
        <v>#REF!</v>
      </c>
      <c r="HR48" t="e">
        <f>AND('5A'!#REF!,"AAAAAD1fteE=")</f>
        <v>#REF!</v>
      </c>
      <c r="HS48" t="e">
        <f>AND('5A'!#REF!,"AAAAAD1fteI=")</f>
        <v>#REF!</v>
      </c>
      <c r="HT48" t="e">
        <f>IF('5A'!#REF!,"AAAAAD1fteM=",0)</f>
        <v>#REF!</v>
      </c>
      <c r="HU48" t="e">
        <f>AND('5A'!#REF!,"AAAAAD1fteQ=")</f>
        <v>#REF!</v>
      </c>
      <c r="HV48" t="e">
        <f>AND('5A'!#REF!,"AAAAAD1fteU=")</f>
        <v>#REF!</v>
      </c>
      <c r="HW48" t="e">
        <f>AND('5A'!#REF!,"AAAAAD1fteY=")</f>
        <v>#REF!</v>
      </c>
      <c r="HX48" t="e">
        <f>AND('5A'!#REF!,"AAAAAD1ftec=")</f>
        <v>#REF!</v>
      </c>
      <c r="HY48" t="e">
        <f>AND('5A'!#REF!,"AAAAAD1fteg=")</f>
        <v>#REF!</v>
      </c>
      <c r="HZ48" t="e">
        <f>AND('5A'!#REF!,"AAAAAD1ftek=")</f>
        <v>#REF!</v>
      </c>
      <c r="IA48" t="e">
        <f>AND('5A'!#REF!,"AAAAAD1fteo=")</f>
        <v>#REF!</v>
      </c>
      <c r="IB48" t="e">
        <f>AND('5A'!#REF!,"AAAAAD1ftes=")</f>
        <v>#REF!</v>
      </c>
      <c r="IC48" t="e">
        <f>AND('5A'!#REF!,"AAAAAD1ftew=")</f>
        <v>#REF!</v>
      </c>
      <c r="ID48" t="e">
        <f>AND('5A'!#REF!,"AAAAAD1fte0=")</f>
        <v>#REF!</v>
      </c>
      <c r="IE48" t="e">
        <f>AND('5A'!#REF!,"AAAAAD1fte4=")</f>
        <v>#REF!</v>
      </c>
      <c r="IF48" t="e">
        <f>AND('5A'!#REF!,"AAAAAD1fte8=")</f>
        <v>#REF!</v>
      </c>
      <c r="IG48" t="e">
        <f>AND('5A'!#REF!,"AAAAAD1ftfA=")</f>
        <v>#REF!</v>
      </c>
      <c r="IH48" t="e">
        <f>AND('5A'!#REF!,"AAAAAD1ftfE=")</f>
        <v>#REF!</v>
      </c>
      <c r="II48" t="e">
        <f>AND('5A'!#REF!,"AAAAAD1ftfI=")</f>
        <v>#REF!</v>
      </c>
      <c r="IJ48" t="e">
        <f>AND('5A'!#REF!,"AAAAAD1ftfM=")</f>
        <v>#REF!</v>
      </c>
      <c r="IK48">
        <f>IF('5A'!69:69,"AAAAAD1ftfQ=",0)</f>
        <v>0</v>
      </c>
      <c r="IL48" t="e">
        <f>AND('5A'!#REF!,"AAAAAD1ftfU=")</f>
        <v>#REF!</v>
      </c>
      <c r="IM48" t="e">
        <f>AND('5A'!A69,"AAAAAD1ftfY=")</f>
        <v>#VALUE!</v>
      </c>
      <c r="IN48" t="e">
        <f>AND('5A'!B69,"AAAAAD1ftfc=")</f>
        <v>#VALUE!</v>
      </c>
      <c r="IO48" t="e">
        <f>AND('5A'!C69,"AAAAAD1ftfg=")</f>
        <v>#VALUE!</v>
      </c>
      <c r="IP48" t="e">
        <f>AND('5A'!D69,"AAAAAD1ftfk=")</f>
        <v>#VALUE!</v>
      </c>
      <c r="IQ48" t="e">
        <f>AND('5A'!E69,"AAAAAD1ftfo=")</f>
        <v>#VALUE!</v>
      </c>
      <c r="IR48" t="e">
        <f>AND('5A'!F69,"AAAAAD1ftfs=")</f>
        <v>#VALUE!</v>
      </c>
      <c r="IS48" t="e">
        <f>AND('5A'!G69,"AAAAAD1ftfw=")</f>
        <v>#VALUE!</v>
      </c>
      <c r="IT48" t="e">
        <f>AND('5A'!H69,"AAAAAD1ftf0=")</f>
        <v>#VALUE!</v>
      </c>
      <c r="IU48" t="e">
        <f>AND('5A'!#REF!,"AAAAAD1ftf4=")</f>
        <v>#REF!</v>
      </c>
      <c r="IV48" t="e">
        <f>AND('5A'!#REF!,"AAAAAD1ftf8=")</f>
        <v>#REF!</v>
      </c>
    </row>
    <row r="49" spans="1:256" x14ac:dyDescent="0.25">
      <c r="A49" t="e">
        <f>AND('5A'!#REF!,"AAAAABtP2wA=")</f>
        <v>#REF!</v>
      </c>
      <c r="B49" t="e">
        <f>AND('5A'!#REF!,"AAAAABtP2wE=")</f>
        <v>#REF!</v>
      </c>
      <c r="C49" t="e">
        <f>AND('5A'!I69,"AAAAABtP2wI=")</f>
        <v>#VALUE!</v>
      </c>
      <c r="D49" t="e">
        <f>AND('5A'!#REF!,"AAAAABtP2wM=")</f>
        <v>#REF!</v>
      </c>
      <c r="E49" t="e">
        <f>AND('5A'!#REF!,"AAAAABtP2wQ=")</f>
        <v>#REF!</v>
      </c>
      <c r="F49">
        <f>IF('5A'!70:70,"AAAAABtP2wU=",0)</f>
        <v>0</v>
      </c>
      <c r="G49" t="e">
        <f>AND('5A'!#REF!,"AAAAABtP2wY=")</f>
        <v>#REF!</v>
      </c>
      <c r="H49" t="e">
        <f>AND('5A'!A70,"AAAAABtP2wc=")</f>
        <v>#VALUE!</v>
      </c>
      <c r="I49" t="e">
        <f>AND('5A'!B70,"AAAAABtP2wg=")</f>
        <v>#VALUE!</v>
      </c>
      <c r="J49" t="e">
        <f>AND('5A'!C70,"AAAAABtP2wk=")</f>
        <v>#VALUE!</v>
      </c>
      <c r="K49" t="e">
        <f>AND('5A'!D70,"AAAAABtP2wo=")</f>
        <v>#VALUE!</v>
      </c>
      <c r="L49" t="e">
        <f>AND('5A'!E70,"AAAAABtP2ws=")</f>
        <v>#VALUE!</v>
      </c>
      <c r="M49" t="e">
        <f>AND('5A'!F70,"AAAAABtP2ww=")</f>
        <v>#VALUE!</v>
      </c>
      <c r="N49" t="e">
        <f>AND('5A'!G70,"AAAAABtP2w0=")</f>
        <v>#VALUE!</v>
      </c>
      <c r="O49" t="e">
        <f>AND('5A'!H70,"AAAAABtP2w4=")</f>
        <v>#VALUE!</v>
      </c>
      <c r="P49" t="e">
        <f>AND('5A'!#REF!,"AAAAABtP2w8=")</f>
        <v>#REF!</v>
      </c>
      <c r="Q49" t="e">
        <f>AND('5A'!#REF!,"AAAAABtP2xA=")</f>
        <v>#REF!</v>
      </c>
      <c r="R49" t="e">
        <f>AND('5A'!#REF!,"AAAAABtP2xE=")</f>
        <v>#REF!</v>
      </c>
      <c r="S49" t="e">
        <f>AND('5A'!#REF!,"AAAAABtP2xI=")</f>
        <v>#REF!</v>
      </c>
      <c r="T49" t="e">
        <f>AND('5A'!I70,"AAAAABtP2xM=")</f>
        <v>#VALUE!</v>
      </c>
      <c r="U49" t="e">
        <f>AND('5A'!#REF!,"AAAAABtP2xQ=")</f>
        <v>#REF!</v>
      </c>
      <c r="V49" t="e">
        <f>AND('5A'!#REF!,"AAAAABtP2xU=")</f>
        <v>#REF!</v>
      </c>
      <c r="W49">
        <f>IF('5A'!71:71,"AAAAABtP2xY=",0)</f>
        <v>0</v>
      </c>
      <c r="X49" t="e">
        <f>AND('5A'!#REF!,"AAAAABtP2xc=")</f>
        <v>#REF!</v>
      </c>
      <c r="Y49" t="e">
        <f>AND('5A'!A71,"AAAAABtP2xg=")</f>
        <v>#VALUE!</v>
      </c>
      <c r="Z49" t="e">
        <f>AND('5A'!B71,"AAAAABtP2xk=")</f>
        <v>#VALUE!</v>
      </c>
      <c r="AA49" t="e">
        <f>AND('5A'!C71,"AAAAABtP2xo=")</f>
        <v>#VALUE!</v>
      </c>
      <c r="AB49" t="e">
        <f>AND('5A'!D71,"AAAAABtP2xs=")</f>
        <v>#VALUE!</v>
      </c>
      <c r="AC49" t="e">
        <f>AND('5A'!E71,"AAAAABtP2xw=")</f>
        <v>#VALUE!</v>
      </c>
      <c r="AD49" t="e">
        <f>AND('5A'!F71,"AAAAABtP2x0=")</f>
        <v>#VALUE!</v>
      </c>
      <c r="AE49" t="e">
        <f>AND('5A'!G71,"AAAAABtP2x4=")</f>
        <v>#VALUE!</v>
      </c>
      <c r="AF49" t="e">
        <f>AND('5A'!H71,"AAAAABtP2x8=")</f>
        <v>#VALUE!</v>
      </c>
      <c r="AG49" t="e">
        <f>AND('5A'!#REF!,"AAAAABtP2yA=")</f>
        <v>#REF!</v>
      </c>
      <c r="AH49" t="e">
        <f>AND('5A'!#REF!,"AAAAABtP2yE=")</f>
        <v>#REF!</v>
      </c>
      <c r="AI49" t="e">
        <f>AND('5A'!#REF!,"AAAAABtP2yI=")</f>
        <v>#REF!</v>
      </c>
      <c r="AJ49" t="e">
        <f>AND('5A'!#REF!,"AAAAABtP2yM=")</f>
        <v>#REF!</v>
      </c>
      <c r="AK49" t="e">
        <f>AND('5A'!I71,"AAAAABtP2yQ=")</f>
        <v>#VALUE!</v>
      </c>
      <c r="AL49" t="e">
        <f>AND('5A'!#REF!,"AAAAABtP2yU=")</f>
        <v>#REF!</v>
      </c>
      <c r="AM49" t="e">
        <f>AND('5A'!#REF!,"AAAAABtP2yY=")</f>
        <v>#REF!</v>
      </c>
      <c r="AN49">
        <f>IF('5A'!72:72,"AAAAABtP2yc=",0)</f>
        <v>0</v>
      </c>
      <c r="AO49" t="e">
        <f>AND('5A'!#REF!,"AAAAABtP2yg=")</f>
        <v>#REF!</v>
      </c>
      <c r="AP49" t="e">
        <f>AND('5A'!A72,"AAAAABtP2yk=")</f>
        <v>#VALUE!</v>
      </c>
      <c r="AQ49" t="e">
        <f>AND('5A'!B72,"AAAAABtP2yo=")</f>
        <v>#VALUE!</v>
      </c>
      <c r="AR49" t="e">
        <f>AND('5A'!C72,"AAAAABtP2ys=")</f>
        <v>#VALUE!</v>
      </c>
      <c r="AS49" t="e">
        <f>AND('5A'!D72,"AAAAABtP2yw=")</f>
        <v>#VALUE!</v>
      </c>
      <c r="AT49" t="e">
        <f>AND('5A'!E72,"AAAAABtP2y0=")</f>
        <v>#VALUE!</v>
      </c>
      <c r="AU49" t="e">
        <f>AND('5A'!F72,"AAAAABtP2y4=")</f>
        <v>#VALUE!</v>
      </c>
      <c r="AV49" t="e">
        <f>AND('5A'!G72,"AAAAABtP2y8=")</f>
        <v>#VALUE!</v>
      </c>
      <c r="AW49" t="e">
        <f>AND('5A'!H72,"AAAAABtP2zA=")</f>
        <v>#VALUE!</v>
      </c>
      <c r="AX49" t="e">
        <f>AND('5A'!#REF!,"AAAAABtP2zE=")</f>
        <v>#REF!</v>
      </c>
      <c r="AY49" t="e">
        <f>AND('5A'!#REF!,"AAAAABtP2zI=")</f>
        <v>#REF!</v>
      </c>
      <c r="AZ49" t="e">
        <f>AND('5A'!#REF!,"AAAAABtP2zM=")</f>
        <v>#REF!</v>
      </c>
      <c r="BA49" t="e">
        <f>AND('5A'!#REF!,"AAAAABtP2zQ=")</f>
        <v>#REF!</v>
      </c>
      <c r="BB49" t="e">
        <f>AND('5A'!I72,"AAAAABtP2zU=")</f>
        <v>#VALUE!</v>
      </c>
      <c r="BC49" t="e">
        <f>AND('5A'!#REF!,"AAAAABtP2zY=")</f>
        <v>#REF!</v>
      </c>
      <c r="BD49" t="e">
        <f>AND('5A'!#REF!,"AAAAABtP2zc=")</f>
        <v>#REF!</v>
      </c>
      <c r="BE49">
        <f>IF('5A'!74:74,"AAAAABtP2zg=",0)</f>
        <v>0</v>
      </c>
      <c r="BF49" t="e">
        <f>AND('5A'!#REF!,"AAAAABtP2zk=")</f>
        <v>#REF!</v>
      </c>
      <c r="BG49" t="e">
        <f>AND('5A'!A74,"AAAAABtP2zo=")</f>
        <v>#VALUE!</v>
      </c>
      <c r="BH49" t="e">
        <f>AND('5A'!B74,"AAAAABtP2zs=")</f>
        <v>#VALUE!</v>
      </c>
      <c r="BI49" t="e">
        <f>AND('5A'!C74,"AAAAABtP2zw=")</f>
        <v>#VALUE!</v>
      </c>
      <c r="BJ49" t="e">
        <f>AND('5A'!D74,"AAAAABtP2z0=")</f>
        <v>#VALUE!</v>
      </c>
      <c r="BK49" t="e">
        <f>AND('5A'!E74,"AAAAABtP2z4=")</f>
        <v>#VALUE!</v>
      </c>
      <c r="BL49" t="e">
        <f>AND('5A'!F74,"AAAAABtP2z8=")</f>
        <v>#VALUE!</v>
      </c>
      <c r="BM49" t="e">
        <f>AND('5A'!G74,"AAAAABtP20A=")</f>
        <v>#VALUE!</v>
      </c>
      <c r="BN49" t="e">
        <f>AND('5A'!H74,"AAAAABtP20E=")</f>
        <v>#VALUE!</v>
      </c>
      <c r="BO49" t="e">
        <f>AND('5A'!#REF!,"AAAAABtP20I=")</f>
        <v>#REF!</v>
      </c>
      <c r="BP49" t="e">
        <f>AND('5A'!#REF!,"AAAAABtP20M=")</f>
        <v>#REF!</v>
      </c>
      <c r="BQ49" t="e">
        <f>AND('5A'!#REF!,"AAAAABtP20Q=")</f>
        <v>#REF!</v>
      </c>
      <c r="BR49" t="e">
        <f>AND('5A'!#REF!,"AAAAABtP20U=")</f>
        <v>#REF!</v>
      </c>
      <c r="BS49" t="e">
        <f>AND('5A'!I74,"AAAAABtP20Y=")</f>
        <v>#VALUE!</v>
      </c>
      <c r="BT49" t="e">
        <f>AND('5A'!#REF!,"AAAAABtP20c=")</f>
        <v>#REF!</v>
      </c>
      <c r="BU49" t="e">
        <f>AND('5A'!#REF!,"AAAAABtP20g=")</f>
        <v>#REF!</v>
      </c>
      <c r="BV49">
        <f>IF('5A'!75:75,"AAAAABtP20k=",0)</f>
        <v>0</v>
      </c>
      <c r="BW49">
        <f>IF('5A'!76:76,"AAAAABtP20o=",0)</f>
        <v>0</v>
      </c>
      <c r="BX49">
        <f>IF('5A'!77:77,"AAAAABtP20s=",0)</f>
        <v>0</v>
      </c>
      <c r="BY49">
        <f>IF('5A'!78:78,"AAAAABtP20w=",0)</f>
        <v>0</v>
      </c>
      <c r="BZ49">
        <f>IF('5A'!79:79,"AAAAABtP200=",0)</f>
        <v>0</v>
      </c>
      <c r="CA49">
        <f>IF('5A'!80:80,"AAAAABtP204=",0)</f>
        <v>0</v>
      </c>
      <c r="CB49">
        <f>IF('5A'!81:81,"AAAAABtP208=",0)</f>
        <v>0</v>
      </c>
      <c r="CC49">
        <f>IF('5A'!82:82,"AAAAABtP21A=",0)</f>
        <v>0</v>
      </c>
      <c r="CD49" t="e">
        <f>IF('5A'!#REF!,"AAAAABtP21E=",0)</f>
        <v>#REF!</v>
      </c>
      <c r="CE49" t="str">
        <f>IF('5A'!A:A,"AAAAABtP21I=",0)</f>
        <v>AAAAABtP21I=</v>
      </c>
      <c r="CF49" t="e">
        <f>IF('5A'!B:B,"AAAAABtP21M=",0)</f>
        <v>#VALUE!</v>
      </c>
      <c r="CG49" t="str">
        <f>IF('5A'!C:C,"AAAAABtP21Q=",0)</f>
        <v>AAAAABtP21Q=</v>
      </c>
      <c r="CH49">
        <f>IF('5A'!D:D,"AAAAABtP21U=",0)</f>
        <v>0</v>
      </c>
      <c r="CI49" t="str">
        <f>IF('5A'!E:E,"AAAAABtP21Y=",0)</f>
        <v>AAAAABtP21Y=</v>
      </c>
      <c r="CJ49">
        <f>IF('5A'!F:F,"AAAAABtP21c=",0)</f>
        <v>0</v>
      </c>
      <c r="CK49" t="str">
        <f>IF('5A'!G:G,"AAAAABtP21g=",0)</f>
        <v>AAAAABtP21g=</v>
      </c>
      <c r="CL49">
        <f>IF('5A'!H:H,"AAAAABtP21k=",0)</f>
        <v>0</v>
      </c>
      <c r="CM49" t="e">
        <f>IF('5A'!#REF!,"AAAAABtP21o=",0)</f>
        <v>#REF!</v>
      </c>
      <c r="CN49" t="e">
        <f>IF('5A'!#REF!,"AAAAABtP21s=",0)</f>
        <v>#REF!</v>
      </c>
      <c r="CO49" t="e">
        <f>IF('5A'!#REF!,"AAAAABtP21w=",0)</f>
        <v>#REF!</v>
      </c>
      <c r="CP49" t="e">
        <f>IF('5A'!#REF!,"AAAAABtP210=",0)</f>
        <v>#REF!</v>
      </c>
      <c r="CQ49">
        <f>IF('5A'!I:I,"AAAAABtP214=",0)</f>
        <v>0</v>
      </c>
      <c r="CR49" t="e">
        <f ca="1">IF(_xlfn.SINGLE('5A'!#REF!),"AAAAABtP218=",0)</f>
        <v>#NAME?</v>
      </c>
      <c r="CS49" t="e">
        <f ca="1">IF(_xlfn.SINGLE('5A'!#REF!),"AAAAABtP22A=",0)</f>
        <v>#NAME?</v>
      </c>
      <c r="CT49">
        <f>IF('5 (Samb. 2)'!1:1,"AAAAABtP22E=",0)</f>
        <v>0</v>
      </c>
      <c r="CU49" t="e">
        <f>AND('5 (Samb. 2)'!#REF!,"AAAAABtP22I=")</f>
        <v>#REF!</v>
      </c>
      <c r="CV49" t="e">
        <f>AND('5 (Samb. 2)'!A1,"AAAAABtP22M=")</f>
        <v>#VALUE!</v>
      </c>
      <c r="CW49" t="e">
        <f>AND('5 (Samb. 2)'!B1,"AAAAABtP22Q=")</f>
        <v>#VALUE!</v>
      </c>
      <c r="CX49" t="e">
        <f>AND('5 (Samb. 2)'!#REF!,"AAAAABtP22U=")</f>
        <v>#REF!</v>
      </c>
      <c r="CY49" t="e">
        <f>AND('5 (Samb. 2)'!#REF!,"AAAAABtP22Y=")</f>
        <v>#REF!</v>
      </c>
      <c r="CZ49" t="e">
        <f>AND('5 (Samb. 2)'!C1,"AAAAABtP22c=")</f>
        <v>#VALUE!</v>
      </c>
      <c r="DA49" t="e">
        <f>AND('5 (Samb. 2)'!D1,"AAAAABtP22g=")</f>
        <v>#VALUE!</v>
      </c>
      <c r="DB49" t="e">
        <f>AND('5 (Samb. 2)'!E1,"AAAAABtP22k=")</f>
        <v>#VALUE!</v>
      </c>
      <c r="DC49" t="e">
        <f>AND('5 (Samb. 2)'!F1,"AAAAABtP22o=")</f>
        <v>#VALUE!</v>
      </c>
      <c r="DD49" t="e">
        <f>AND('5 (Samb. 2)'!G1,"AAAAABtP22s=")</f>
        <v>#VALUE!</v>
      </c>
      <c r="DE49" t="e">
        <f>AND('5 (Samb. 2)'!H1,"AAAAABtP22w=")</f>
        <v>#VALUE!</v>
      </c>
      <c r="DF49" t="e">
        <f>AND('5 (Samb. 2)'!I1,"AAAAABtP220=")</f>
        <v>#VALUE!</v>
      </c>
      <c r="DG49" t="e">
        <f>AND('5 (Samb. 2)'!#REF!,"AAAAABtP224=")</f>
        <v>#REF!</v>
      </c>
      <c r="DH49" t="e">
        <f>AND('5 (Samb. 2)'!#REF!,"AAAAABtP228=")</f>
        <v>#REF!</v>
      </c>
      <c r="DI49" t="e">
        <f>AND('5 (Samb. 2)'!#REF!,"AAAAABtP23A=")</f>
        <v>#REF!</v>
      </c>
      <c r="DJ49" t="e">
        <f>AND('5 (Samb. 2)'!#REF!,"AAAAABtP23E=")</f>
        <v>#REF!</v>
      </c>
      <c r="DK49">
        <f>IF('5 (Samb. 2)'!2:2,"AAAAABtP23I=",0)</f>
        <v>0</v>
      </c>
      <c r="DL49" t="e">
        <f>AND('5 (Samb. 2)'!#REF!,"AAAAABtP23M=")</f>
        <v>#REF!</v>
      </c>
      <c r="DM49" t="e">
        <f>AND('5 (Samb. 2)'!A2,"AAAAABtP23Q=")</f>
        <v>#VALUE!</v>
      </c>
      <c r="DN49" t="e">
        <f>AND('5 (Samb. 2)'!B2,"AAAAABtP23U=")</f>
        <v>#VALUE!</v>
      </c>
      <c r="DO49" t="e">
        <f>AND('5 (Samb. 2)'!#REF!,"AAAAABtP23Y=")</f>
        <v>#REF!</v>
      </c>
      <c r="DP49" t="e">
        <f>AND('5 (Samb. 2)'!#REF!,"AAAAABtP23c=")</f>
        <v>#REF!</v>
      </c>
      <c r="DQ49" t="e">
        <f>AND('5 (Samb. 2)'!C2,"AAAAABtP23g=")</f>
        <v>#VALUE!</v>
      </c>
      <c r="DR49" t="e">
        <f>AND('5 (Samb. 2)'!D2,"AAAAABtP23k=")</f>
        <v>#VALUE!</v>
      </c>
      <c r="DS49" t="e">
        <f>AND('5 (Samb. 2)'!E2,"AAAAABtP23o=")</f>
        <v>#VALUE!</v>
      </c>
      <c r="DT49" t="e">
        <f>AND('5 (Samb. 2)'!F2,"AAAAABtP23s=")</f>
        <v>#VALUE!</v>
      </c>
      <c r="DU49" t="e">
        <f>AND('5 (Samb. 2)'!G2,"AAAAABtP23w=")</f>
        <v>#VALUE!</v>
      </c>
      <c r="DV49" t="e">
        <f>AND('5 (Samb. 2)'!H2,"AAAAABtP230=")</f>
        <v>#VALUE!</v>
      </c>
      <c r="DW49" t="e">
        <f>AND('5 (Samb. 2)'!I2,"AAAAABtP234=")</f>
        <v>#VALUE!</v>
      </c>
      <c r="DX49" t="e">
        <f>AND('5 (Samb. 2)'!#REF!,"AAAAABtP238=")</f>
        <v>#REF!</v>
      </c>
      <c r="DY49" t="e">
        <f>AND('5 (Samb. 2)'!#REF!,"AAAAABtP24A=")</f>
        <v>#REF!</v>
      </c>
      <c r="DZ49" t="e">
        <f>AND('5 (Samb. 2)'!#REF!,"AAAAABtP24E=")</f>
        <v>#REF!</v>
      </c>
      <c r="EA49" t="e">
        <f>AND('5 (Samb. 2)'!#REF!,"AAAAABtP24I=")</f>
        <v>#REF!</v>
      </c>
      <c r="EB49">
        <f>IF('5 (Samb. 2)'!3:3,"AAAAABtP24M=",0)</f>
        <v>0</v>
      </c>
      <c r="EC49" t="e">
        <f>AND('5 (Samb. 2)'!#REF!,"AAAAABtP24Q=")</f>
        <v>#REF!</v>
      </c>
      <c r="ED49" t="e">
        <f>AND('5 (Samb. 2)'!A3,"AAAAABtP24U=")</f>
        <v>#VALUE!</v>
      </c>
      <c r="EE49" t="e">
        <f>AND('5 (Samb. 2)'!B3,"AAAAABtP24Y=")</f>
        <v>#VALUE!</v>
      </c>
      <c r="EF49" t="e">
        <f>AND('5 (Samb. 2)'!#REF!,"AAAAABtP24c=")</f>
        <v>#REF!</v>
      </c>
      <c r="EG49" t="e">
        <f>AND('5 (Samb. 2)'!#REF!,"AAAAABtP24g=")</f>
        <v>#REF!</v>
      </c>
      <c r="EH49" t="e">
        <f>AND('5 (Samb. 2)'!C3,"AAAAABtP24k=")</f>
        <v>#VALUE!</v>
      </c>
      <c r="EI49" t="e">
        <f>AND('5 (Samb. 2)'!D3,"AAAAABtP24o=")</f>
        <v>#VALUE!</v>
      </c>
      <c r="EJ49" t="e">
        <f>AND('5 (Samb. 2)'!E3,"AAAAABtP24s=")</f>
        <v>#VALUE!</v>
      </c>
      <c r="EK49" t="e">
        <f>AND('5 (Samb. 2)'!F3,"AAAAABtP24w=")</f>
        <v>#VALUE!</v>
      </c>
      <c r="EL49" t="e">
        <f>AND('5 (Samb. 2)'!G3,"AAAAABtP240=")</f>
        <v>#VALUE!</v>
      </c>
      <c r="EM49" t="e">
        <f>AND('5 (Samb. 2)'!H3,"AAAAABtP244=")</f>
        <v>#VALUE!</v>
      </c>
      <c r="EN49" t="e">
        <f>AND('5 (Samb. 2)'!I3,"AAAAABtP248=")</f>
        <v>#VALUE!</v>
      </c>
      <c r="EO49" t="e">
        <f>AND('5 (Samb. 2)'!#REF!,"AAAAABtP25A=")</f>
        <v>#REF!</v>
      </c>
      <c r="EP49" t="e">
        <f>AND('5 (Samb. 2)'!#REF!,"AAAAABtP25E=")</f>
        <v>#REF!</v>
      </c>
      <c r="EQ49" t="e">
        <f>AND('5 (Samb. 2)'!#REF!,"AAAAABtP25I=")</f>
        <v>#REF!</v>
      </c>
      <c r="ER49" t="e">
        <f>AND('5 (Samb. 2)'!#REF!,"AAAAABtP25M=")</f>
        <v>#REF!</v>
      </c>
      <c r="ES49">
        <f>IF('5 (Samb. 2)'!4:4,"AAAAABtP25Q=",0)</f>
        <v>0</v>
      </c>
      <c r="ET49" t="e">
        <f>AND('5 (Samb. 2)'!#REF!,"AAAAABtP25U=")</f>
        <v>#REF!</v>
      </c>
      <c r="EU49" t="e">
        <f>AND('5 (Samb. 2)'!A4,"AAAAABtP25Y=")</f>
        <v>#VALUE!</v>
      </c>
      <c r="EV49" t="e">
        <f>AND('5 (Samb. 2)'!B4,"AAAAABtP25c=")</f>
        <v>#VALUE!</v>
      </c>
      <c r="EW49" t="e">
        <f>AND('5 (Samb. 2)'!#REF!,"AAAAABtP25g=")</f>
        <v>#REF!</v>
      </c>
      <c r="EX49" t="e">
        <f>AND('5 (Samb. 2)'!#REF!,"AAAAABtP25k=")</f>
        <v>#REF!</v>
      </c>
      <c r="EY49" t="e">
        <f>AND('5 (Samb. 2)'!C4,"AAAAABtP25o=")</f>
        <v>#VALUE!</v>
      </c>
      <c r="EZ49" t="e">
        <f>AND('5 (Samb. 2)'!D4,"AAAAABtP25s=")</f>
        <v>#VALUE!</v>
      </c>
      <c r="FA49" t="e">
        <f>AND('5 (Samb. 2)'!E4,"AAAAABtP25w=")</f>
        <v>#VALUE!</v>
      </c>
      <c r="FB49" t="e">
        <f>AND('5 (Samb. 2)'!F4,"AAAAABtP250=")</f>
        <v>#VALUE!</v>
      </c>
      <c r="FC49" t="e">
        <f>AND('5 (Samb. 2)'!G4,"AAAAABtP254=")</f>
        <v>#VALUE!</v>
      </c>
      <c r="FD49" t="e">
        <f>AND('5 (Samb. 2)'!H4,"AAAAABtP258=")</f>
        <v>#VALUE!</v>
      </c>
      <c r="FE49" t="e">
        <f>AND('5 (Samb. 2)'!I4,"AAAAABtP26A=")</f>
        <v>#VALUE!</v>
      </c>
      <c r="FF49" t="e">
        <f>AND('5 (Samb. 2)'!#REF!,"AAAAABtP26E=")</f>
        <v>#REF!</v>
      </c>
      <c r="FG49" t="e">
        <f>AND('5 (Samb. 2)'!#REF!,"AAAAABtP26I=")</f>
        <v>#REF!</v>
      </c>
      <c r="FH49" t="e">
        <f>AND('5 (Samb. 2)'!#REF!,"AAAAABtP26M=")</f>
        <v>#REF!</v>
      </c>
      <c r="FI49" t="e">
        <f>AND('5 (Samb. 2)'!#REF!,"AAAAABtP26Q=")</f>
        <v>#REF!</v>
      </c>
      <c r="FJ49">
        <f>IF('5 (Samb. 2)'!5:5,"AAAAABtP26U=",0)</f>
        <v>0</v>
      </c>
      <c r="FK49" t="e">
        <f>AND('5 (Samb. 2)'!#REF!,"AAAAABtP26Y=")</f>
        <v>#REF!</v>
      </c>
      <c r="FL49" t="e">
        <f>AND('5 (Samb. 2)'!A5,"AAAAABtP26c=")</f>
        <v>#VALUE!</v>
      </c>
      <c r="FM49" t="e">
        <f>AND('5 (Samb. 2)'!B5,"AAAAABtP26g=")</f>
        <v>#VALUE!</v>
      </c>
      <c r="FN49" t="e">
        <f>AND('5 (Samb. 2)'!#REF!,"AAAAABtP26k=")</f>
        <v>#REF!</v>
      </c>
      <c r="FO49" t="e">
        <f>AND('5 (Samb. 2)'!#REF!,"AAAAABtP26o=")</f>
        <v>#REF!</v>
      </c>
      <c r="FP49" t="e">
        <f>AND('5 (Samb. 2)'!C5,"AAAAABtP26s=")</f>
        <v>#VALUE!</v>
      </c>
      <c r="FQ49" t="e">
        <f>AND('5 (Samb. 2)'!D5,"AAAAABtP26w=")</f>
        <v>#VALUE!</v>
      </c>
      <c r="FR49" t="e">
        <f>AND('5 (Samb. 2)'!E5,"AAAAABtP260=")</f>
        <v>#VALUE!</v>
      </c>
      <c r="FS49" t="e">
        <f>AND('5 (Samb. 2)'!F5,"AAAAABtP264=")</f>
        <v>#VALUE!</v>
      </c>
      <c r="FT49" t="e">
        <f>AND('5 (Samb. 2)'!G5,"AAAAABtP268=")</f>
        <v>#VALUE!</v>
      </c>
      <c r="FU49" t="e">
        <f>AND('5 (Samb. 2)'!H5,"AAAAABtP27A=")</f>
        <v>#VALUE!</v>
      </c>
      <c r="FV49" t="e">
        <f>AND('5 (Samb. 2)'!I5,"AAAAABtP27E=")</f>
        <v>#VALUE!</v>
      </c>
      <c r="FW49" t="e">
        <f>AND('5 (Samb. 2)'!#REF!,"AAAAABtP27I=")</f>
        <v>#REF!</v>
      </c>
      <c r="FX49" t="e">
        <f>AND('5 (Samb. 2)'!#REF!,"AAAAABtP27M=")</f>
        <v>#REF!</v>
      </c>
      <c r="FY49" t="e">
        <f>AND('5 (Samb. 2)'!#REF!,"AAAAABtP27Q=")</f>
        <v>#REF!</v>
      </c>
      <c r="FZ49" t="e">
        <f>AND('5 (Samb. 2)'!#REF!,"AAAAABtP27U=")</f>
        <v>#REF!</v>
      </c>
      <c r="GA49">
        <f>IF('5 (Samb. 2)'!6:6,"AAAAABtP27Y=",0)</f>
        <v>0</v>
      </c>
      <c r="GB49" t="e">
        <f>AND('5 (Samb. 2)'!#REF!,"AAAAABtP27c=")</f>
        <v>#REF!</v>
      </c>
      <c r="GC49" t="e">
        <f>AND('5 (Samb. 2)'!A6,"AAAAABtP27g=")</f>
        <v>#VALUE!</v>
      </c>
      <c r="GD49" t="e">
        <f>AND('5 (Samb. 2)'!B6,"AAAAABtP27k=")</f>
        <v>#VALUE!</v>
      </c>
      <c r="GE49" t="e">
        <f>AND('5 (Samb. 2)'!#REF!,"AAAAABtP27o=")</f>
        <v>#REF!</v>
      </c>
      <c r="GF49" t="e">
        <f>AND('5 (Samb. 2)'!#REF!,"AAAAABtP27s=")</f>
        <v>#REF!</v>
      </c>
      <c r="GG49" t="e">
        <f>AND('5 (Samb. 2)'!C6,"AAAAABtP27w=")</f>
        <v>#VALUE!</v>
      </c>
      <c r="GH49" t="e">
        <f>AND('5 (Samb. 2)'!D6,"AAAAABtP270=")</f>
        <v>#VALUE!</v>
      </c>
      <c r="GI49" t="e">
        <f>AND('5 (Samb. 2)'!E6,"AAAAABtP274=")</f>
        <v>#VALUE!</v>
      </c>
      <c r="GJ49" t="e">
        <f>AND('5 (Samb. 2)'!F6,"AAAAABtP278=")</f>
        <v>#VALUE!</v>
      </c>
      <c r="GK49" t="e">
        <f>AND('5 (Samb. 2)'!G6,"AAAAABtP28A=")</f>
        <v>#VALUE!</v>
      </c>
      <c r="GL49" t="e">
        <f>AND('5 (Samb. 2)'!H6,"AAAAABtP28E=")</f>
        <v>#VALUE!</v>
      </c>
      <c r="GM49" t="e">
        <f>AND('5 (Samb. 2)'!I6,"AAAAABtP28I=")</f>
        <v>#VALUE!</v>
      </c>
      <c r="GN49" t="e">
        <f>AND('5 (Samb. 2)'!#REF!,"AAAAABtP28M=")</f>
        <v>#REF!</v>
      </c>
      <c r="GO49" t="e">
        <f>AND('5 (Samb. 2)'!#REF!,"AAAAABtP28Q=")</f>
        <v>#REF!</v>
      </c>
      <c r="GP49" t="e">
        <f>AND('5 (Samb. 2)'!#REF!,"AAAAABtP28U=")</f>
        <v>#REF!</v>
      </c>
      <c r="GQ49" t="e">
        <f>AND('5 (Samb. 2)'!#REF!,"AAAAABtP28Y=")</f>
        <v>#REF!</v>
      </c>
      <c r="GR49">
        <f>IF('5 (Samb. 2)'!7:7,"AAAAABtP28c=",0)</f>
        <v>0</v>
      </c>
      <c r="GS49" t="e">
        <f>AND('5 (Samb. 2)'!#REF!,"AAAAABtP28g=")</f>
        <v>#REF!</v>
      </c>
      <c r="GT49" t="e">
        <f>AND('5 (Samb. 2)'!A7,"AAAAABtP28k=")</f>
        <v>#VALUE!</v>
      </c>
      <c r="GU49" t="e">
        <f>AND('5 (Samb. 2)'!B7,"AAAAABtP28o=")</f>
        <v>#VALUE!</v>
      </c>
      <c r="GV49" t="e">
        <f>AND('5 (Samb. 2)'!#REF!,"AAAAABtP28s=")</f>
        <v>#REF!</v>
      </c>
      <c r="GW49" t="e">
        <f>AND('5 (Samb. 2)'!#REF!,"AAAAABtP28w=")</f>
        <v>#REF!</v>
      </c>
      <c r="GX49" t="e">
        <f>AND('5 (Samb. 2)'!C7,"AAAAABtP280=")</f>
        <v>#VALUE!</v>
      </c>
      <c r="GY49" t="e">
        <f>AND('5 (Samb. 2)'!D7,"AAAAABtP284=")</f>
        <v>#VALUE!</v>
      </c>
      <c r="GZ49" t="e">
        <f>AND('5 (Samb. 2)'!E7,"AAAAABtP288=")</f>
        <v>#VALUE!</v>
      </c>
      <c r="HA49" t="e">
        <f>AND('5 (Samb. 2)'!F7,"AAAAABtP29A=")</f>
        <v>#VALUE!</v>
      </c>
      <c r="HB49" t="e">
        <f>AND('5 (Samb. 2)'!G7,"AAAAABtP29E=")</f>
        <v>#VALUE!</v>
      </c>
      <c r="HC49" t="e">
        <f>AND('5 (Samb. 2)'!H7,"AAAAABtP29I=")</f>
        <v>#VALUE!</v>
      </c>
      <c r="HD49" t="e">
        <f>AND('5 (Samb. 2)'!I7,"AAAAABtP29M=")</f>
        <v>#VALUE!</v>
      </c>
      <c r="HE49" t="e">
        <f>AND('5 (Samb. 2)'!#REF!,"AAAAABtP29Q=")</f>
        <v>#REF!</v>
      </c>
      <c r="HF49" t="e">
        <f>AND('5 (Samb. 2)'!#REF!,"AAAAABtP29U=")</f>
        <v>#REF!</v>
      </c>
      <c r="HG49" t="e">
        <f>AND('5 (Samb. 2)'!#REF!,"AAAAABtP29Y=")</f>
        <v>#REF!</v>
      </c>
      <c r="HH49" t="e">
        <f>AND('5 (Samb. 2)'!#REF!,"AAAAABtP29c=")</f>
        <v>#REF!</v>
      </c>
      <c r="HI49">
        <f>IF('5 (Samb. 2)'!8:8,"AAAAABtP29g=",0)</f>
        <v>0</v>
      </c>
      <c r="HJ49" t="e">
        <f>AND('5 (Samb. 2)'!#REF!,"AAAAABtP29k=")</f>
        <v>#REF!</v>
      </c>
      <c r="HK49" t="e">
        <f>AND('5 (Samb. 2)'!A8,"AAAAABtP29o=")</f>
        <v>#VALUE!</v>
      </c>
      <c r="HL49" t="e">
        <f>AND('5 (Samb. 2)'!B8,"AAAAABtP29s=")</f>
        <v>#VALUE!</v>
      </c>
      <c r="HM49" t="e">
        <f>AND('5 (Samb. 2)'!#REF!,"AAAAABtP29w=")</f>
        <v>#REF!</v>
      </c>
      <c r="HN49" t="e">
        <f>AND('5 (Samb. 2)'!#REF!,"AAAAABtP290=")</f>
        <v>#REF!</v>
      </c>
      <c r="HO49" t="e">
        <f>AND('5 (Samb. 2)'!C8,"AAAAABtP294=")</f>
        <v>#VALUE!</v>
      </c>
      <c r="HP49" t="e">
        <f>AND('5 (Samb. 2)'!D8,"AAAAABtP298=")</f>
        <v>#VALUE!</v>
      </c>
      <c r="HQ49" t="e">
        <f>AND('5 (Samb. 2)'!E8,"AAAAABtP2+A=")</f>
        <v>#VALUE!</v>
      </c>
      <c r="HR49" t="e">
        <f>AND('5 (Samb. 2)'!F8,"AAAAABtP2+E=")</f>
        <v>#VALUE!</v>
      </c>
      <c r="HS49" t="e">
        <f>AND('5 (Samb. 2)'!G8,"AAAAABtP2+I=")</f>
        <v>#VALUE!</v>
      </c>
      <c r="HT49" t="e">
        <f>AND('5 (Samb. 2)'!H8,"AAAAABtP2+M=")</f>
        <v>#VALUE!</v>
      </c>
      <c r="HU49" t="e">
        <f>AND('5 (Samb. 2)'!I8,"AAAAABtP2+Q=")</f>
        <v>#VALUE!</v>
      </c>
      <c r="HV49" t="e">
        <f>AND('5 (Samb. 2)'!#REF!,"AAAAABtP2+U=")</f>
        <v>#REF!</v>
      </c>
      <c r="HW49" t="e">
        <f>AND('5 (Samb. 2)'!#REF!,"AAAAABtP2+Y=")</f>
        <v>#REF!</v>
      </c>
      <c r="HX49" t="e">
        <f>AND('5 (Samb. 2)'!#REF!,"AAAAABtP2+c=")</f>
        <v>#REF!</v>
      </c>
      <c r="HY49" t="e">
        <f>AND('5 (Samb. 2)'!#REF!,"AAAAABtP2+g=")</f>
        <v>#REF!</v>
      </c>
      <c r="HZ49">
        <f>IF('5 (Samb. 2)'!9:9,"AAAAABtP2+k=",0)</f>
        <v>0</v>
      </c>
      <c r="IA49" t="e">
        <f>AND('5 (Samb. 2)'!#REF!,"AAAAABtP2+o=")</f>
        <v>#REF!</v>
      </c>
      <c r="IB49" t="e">
        <f>AND('5 (Samb. 2)'!A9,"AAAAABtP2+s=")</f>
        <v>#VALUE!</v>
      </c>
      <c r="IC49" t="e">
        <f>AND('5 (Samb. 2)'!B9,"AAAAABtP2+w=")</f>
        <v>#VALUE!</v>
      </c>
      <c r="ID49" t="e">
        <f>AND('5 (Samb. 2)'!#REF!,"AAAAABtP2+0=")</f>
        <v>#REF!</v>
      </c>
      <c r="IE49" t="e">
        <f>AND('5 (Samb. 2)'!#REF!,"AAAAABtP2+4=")</f>
        <v>#REF!</v>
      </c>
      <c r="IF49" t="e">
        <f>AND('5 (Samb. 2)'!C9,"AAAAABtP2+8=")</f>
        <v>#VALUE!</v>
      </c>
      <c r="IG49" t="e">
        <f>AND('5 (Samb. 2)'!D9,"AAAAABtP2/A=")</f>
        <v>#VALUE!</v>
      </c>
      <c r="IH49" t="e">
        <f>AND('5 (Samb. 2)'!E9,"AAAAABtP2/E=")</f>
        <v>#VALUE!</v>
      </c>
      <c r="II49" t="e">
        <f>AND('5 (Samb. 2)'!F9,"AAAAABtP2/I=")</f>
        <v>#VALUE!</v>
      </c>
      <c r="IJ49" t="e">
        <f>AND('5 (Samb. 2)'!G9,"AAAAABtP2/M=")</f>
        <v>#VALUE!</v>
      </c>
      <c r="IK49" t="e">
        <f>AND('5 (Samb. 2)'!H9,"AAAAABtP2/Q=")</f>
        <v>#VALUE!</v>
      </c>
      <c r="IL49" t="e">
        <f>AND('5 (Samb. 2)'!I9,"AAAAABtP2/U=")</f>
        <v>#VALUE!</v>
      </c>
      <c r="IM49" t="e">
        <f>AND('5 (Samb. 2)'!#REF!,"AAAAABtP2/Y=")</f>
        <v>#REF!</v>
      </c>
      <c r="IN49" t="e">
        <f>AND('5 (Samb. 2)'!#REF!,"AAAAABtP2/c=")</f>
        <v>#REF!</v>
      </c>
      <c r="IO49" t="e">
        <f>AND('5 (Samb. 2)'!#REF!,"AAAAABtP2/g=")</f>
        <v>#REF!</v>
      </c>
      <c r="IP49" t="e">
        <f>AND('5 (Samb. 2)'!#REF!,"AAAAABtP2/k=")</f>
        <v>#REF!</v>
      </c>
      <c r="IQ49">
        <f>IF('5 (Samb. 2)'!10:10,"AAAAABtP2/o=",0)</f>
        <v>0</v>
      </c>
      <c r="IR49" t="e">
        <f>AND('5 (Samb. 2)'!#REF!,"AAAAABtP2/s=")</f>
        <v>#REF!</v>
      </c>
      <c r="IS49" t="e">
        <f>AND('5 (Samb. 2)'!A10,"AAAAABtP2/w=")</f>
        <v>#VALUE!</v>
      </c>
      <c r="IT49" t="e">
        <f>AND('5 (Samb. 2)'!B10,"AAAAABtP2/0=")</f>
        <v>#VALUE!</v>
      </c>
      <c r="IU49" t="e">
        <f>AND('5 (Samb. 2)'!#REF!,"AAAAABtP2/4=")</f>
        <v>#REF!</v>
      </c>
      <c r="IV49" t="e">
        <f>AND('5 (Samb. 2)'!#REF!,"AAAAABtP2/8=")</f>
        <v>#REF!</v>
      </c>
    </row>
    <row r="50" spans="1:256" x14ac:dyDescent="0.25">
      <c r="A50" t="e">
        <f>AND('5 (Samb. 2)'!C10,"AAAAAH9f/gA=")</f>
        <v>#VALUE!</v>
      </c>
      <c r="B50" t="e">
        <f>AND('5 (Samb. 2)'!D10,"AAAAAH9f/gE=")</f>
        <v>#VALUE!</v>
      </c>
      <c r="C50" t="e">
        <f>AND('5 (Samb. 2)'!E10,"AAAAAH9f/gI=")</f>
        <v>#VALUE!</v>
      </c>
      <c r="D50" t="e">
        <f>AND('5 (Samb. 2)'!F10,"AAAAAH9f/gM=")</f>
        <v>#VALUE!</v>
      </c>
      <c r="E50" t="e">
        <f>AND('5 (Samb. 2)'!G10,"AAAAAH9f/gQ=")</f>
        <v>#VALUE!</v>
      </c>
      <c r="F50" t="e">
        <f>AND('5 (Samb. 2)'!H10,"AAAAAH9f/gU=")</f>
        <v>#VALUE!</v>
      </c>
      <c r="G50" t="e">
        <f>AND('5 (Samb. 2)'!I10,"AAAAAH9f/gY=")</f>
        <v>#VALUE!</v>
      </c>
      <c r="H50" t="e">
        <f>AND('5 (Samb. 2)'!#REF!,"AAAAAH9f/gc=")</f>
        <v>#REF!</v>
      </c>
      <c r="I50" t="e">
        <f>AND('5 (Samb. 2)'!#REF!,"AAAAAH9f/gg=")</f>
        <v>#REF!</v>
      </c>
      <c r="J50" t="e">
        <f>AND('5 (Samb. 2)'!#REF!,"AAAAAH9f/gk=")</f>
        <v>#REF!</v>
      </c>
      <c r="K50" t="e">
        <f>AND('5 (Samb. 2)'!#REF!,"AAAAAH9f/go=")</f>
        <v>#REF!</v>
      </c>
      <c r="L50">
        <f>IF('5 (Samb. 2)'!11:11,"AAAAAH9f/gs=",0)</f>
        <v>0</v>
      </c>
      <c r="M50" t="e">
        <f>AND('5 (Samb. 2)'!#REF!,"AAAAAH9f/gw=")</f>
        <v>#REF!</v>
      </c>
      <c r="N50" t="e">
        <f>AND('5 (Samb. 2)'!A11,"AAAAAH9f/g0=")</f>
        <v>#VALUE!</v>
      </c>
      <c r="O50" t="e">
        <f>AND('5 (Samb. 2)'!B11,"AAAAAH9f/g4=")</f>
        <v>#VALUE!</v>
      </c>
      <c r="P50" t="e">
        <f>AND('5 (Samb. 2)'!#REF!,"AAAAAH9f/g8=")</f>
        <v>#REF!</v>
      </c>
      <c r="Q50" t="e">
        <f>AND('5 (Samb. 2)'!#REF!,"AAAAAH9f/hA=")</f>
        <v>#REF!</v>
      </c>
      <c r="R50" t="e">
        <f>AND('5 (Samb. 2)'!C11,"AAAAAH9f/hE=")</f>
        <v>#VALUE!</v>
      </c>
      <c r="S50" t="e">
        <f>AND('5 (Samb. 2)'!D11,"AAAAAH9f/hI=")</f>
        <v>#VALUE!</v>
      </c>
      <c r="T50" t="e">
        <f>AND('5 (Samb. 2)'!E11,"AAAAAH9f/hM=")</f>
        <v>#VALUE!</v>
      </c>
      <c r="U50" t="e">
        <f>AND('5 (Samb. 2)'!F11,"AAAAAH9f/hQ=")</f>
        <v>#VALUE!</v>
      </c>
      <c r="V50" t="e">
        <f>AND('5 (Samb. 2)'!G11,"AAAAAH9f/hU=")</f>
        <v>#VALUE!</v>
      </c>
      <c r="W50" t="e">
        <f>AND('5 (Samb. 2)'!H11,"AAAAAH9f/hY=")</f>
        <v>#VALUE!</v>
      </c>
      <c r="X50" t="e">
        <f>AND('5 (Samb. 2)'!I11,"AAAAAH9f/hc=")</f>
        <v>#VALUE!</v>
      </c>
      <c r="Y50" t="e">
        <f>AND('5 (Samb. 2)'!#REF!,"AAAAAH9f/hg=")</f>
        <v>#REF!</v>
      </c>
      <c r="Z50" t="e">
        <f>AND('5 (Samb. 2)'!#REF!,"AAAAAH9f/hk=")</f>
        <v>#REF!</v>
      </c>
      <c r="AA50" t="e">
        <f>AND('5 (Samb. 2)'!#REF!,"AAAAAH9f/ho=")</f>
        <v>#REF!</v>
      </c>
      <c r="AB50" t="e">
        <f>AND('5 (Samb. 2)'!#REF!,"AAAAAH9f/hs=")</f>
        <v>#REF!</v>
      </c>
      <c r="AC50">
        <f>IF('5 (Samb. 2)'!12:12,"AAAAAH9f/hw=",0)</f>
        <v>0</v>
      </c>
      <c r="AD50" t="e">
        <f>AND('5 (Samb. 2)'!#REF!,"AAAAAH9f/h0=")</f>
        <v>#REF!</v>
      </c>
      <c r="AE50" t="e">
        <f>AND('5 (Samb. 2)'!A12,"AAAAAH9f/h4=")</f>
        <v>#VALUE!</v>
      </c>
      <c r="AF50" t="e">
        <f>AND('5 (Samb. 2)'!B12,"AAAAAH9f/h8=")</f>
        <v>#VALUE!</v>
      </c>
      <c r="AG50" t="e">
        <f>AND('5 (Samb. 2)'!#REF!,"AAAAAH9f/iA=")</f>
        <v>#REF!</v>
      </c>
      <c r="AH50" t="e">
        <f>AND('5 (Samb. 2)'!#REF!,"AAAAAH9f/iE=")</f>
        <v>#REF!</v>
      </c>
      <c r="AI50" t="e">
        <f>AND('5 (Samb. 2)'!C12,"AAAAAH9f/iI=")</f>
        <v>#VALUE!</v>
      </c>
      <c r="AJ50" t="e">
        <f>AND('5 (Samb. 2)'!D12,"AAAAAH9f/iM=")</f>
        <v>#VALUE!</v>
      </c>
      <c r="AK50" t="e">
        <f>AND('5 (Samb. 2)'!E12,"AAAAAH9f/iQ=")</f>
        <v>#VALUE!</v>
      </c>
      <c r="AL50" t="e">
        <f>AND('5 (Samb. 2)'!F12,"AAAAAH9f/iU=")</f>
        <v>#VALUE!</v>
      </c>
      <c r="AM50" t="e">
        <f>AND('5 (Samb. 2)'!G12,"AAAAAH9f/iY=")</f>
        <v>#VALUE!</v>
      </c>
      <c r="AN50" t="e">
        <f>AND('5 (Samb. 2)'!H12,"AAAAAH9f/ic=")</f>
        <v>#VALUE!</v>
      </c>
      <c r="AO50" t="e">
        <f>AND('5 (Samb. 2)'!I12,"AAAAAH9f/ig=")</f>
        <v>#VALUE!</v>
      </c>
      <c r="AP50" t="e">
        <f>AND('5 (Samb. 2)'!#REF!,"AAAAAH9f/ik=")</f>
        <v>#REF!</v>
      </c>
      <c r="AQ50" t="e">
        <f>AND('5 (Samb. 2)'!#REF!,"AAAAAH9f/io=")</f>
        <v>#REF!</v>
      </c>
      <c r="AR50" t="e">
        <f>AND('5 (Samb. 2)'!#REF!,"AAAAAH9f/is=")</f>
        <v>#REF!</v>
      </c>
      <c r="AS50" t="e">
        <f>AND('5 (Samb. 2)'!#REF!,"AAAAAH9f/iw=")</f>
        <v>#REF!</v>
      </c>
      <c r="AT50">
        <f>IF('5 (Samb. 2)'!13:13,"AAAAAH9f/i0=",0)</f>
        <v>0</v>
      </c>
      <c r="AU50" t="e">
        <f>AND('5 (Samb. 2)'!#REF!,"AAAAAH9f/i4=")</f>
        <v>#REF!</v>
      </c>
      <c r="AV50" t="e">
        <f>AND('5 (Samb. 2)'!A13,"AAAAAH9f/i8=")</f>
        <v>#VALUE!</v>
      </c>
      <c r="AW50" t="e">
        <f>AND('5 (Samb. 2)'!B13,"AAAAAH9f/jA=")</f>
        <v>#VALUE!</v>
      </c>
      <c r="AX50" t="e">
        <f>AND('5 (Samb. 2)'!#REF!,"AAAAAH9f/jE=")</f>
        <v>#REF!</v>
      </c>
      <c r="AY50" t="e">
        <f>AND('5 (Samb. 2)'!#REF!,"AAAAAH9f/jI=")</f>
        <v>#REF!</v>
      </c>
      <c r="AZ50" t="e">
        <f>AND('5 (Samb. 2)'!C13,"AAAAAH9f/jM=")</f>
        <v>#VALUE!</v>
      </c>
      <c r="BA50" t="e">
        <f>AND('5 (Samb. 2)'!D13,"AAAAAH9f/jQ=")</f>
        <v>#VALUE!</v>
      </c>
      <c r="BB50" t="e">
        <f>AND('5 (Samb. 2)'!E13,"AAAAAH9f/jU=")</f>
        <v>#VALUE!</v>
      </c>
      <c r="BC50" t="e">
        <f>AND('5 (Samb. 2)'!F13,"AAAAAH9f/jY=")</f>
        <v>#VALUE!</v>
      </c>
      <c r="BD50" t="e">
        <f>AND('5 (Samb. 2)'!G13,"AAAAAH9f/jc=")</f>
        <v>#VALUE!</v>
      </c>
      <c r="BE50" t="e">
        <f>AND('5 (Samb. 2)'!H13,"AAAAAH9f/jg=")</f>
        <v>#VALUE!</v>
      </c>
      <c r="BF50" t="e">
        <f>AND('5 (Samb. 2)'!I13,"AAAAAH9f/jk=")</f>
        <v>#VALUE!</v>
      </c>
      <c r="BG50" t="e">
        <f>AND('5 (Samb. 2)'!#REF!,"AAAAAH9f/jo=")</f>
        <v>#REF!</v>
      </c>
      <c r="BH50" t="e">
        <f>AND('5 (Samb. 2)'!#REF!,"AAAAAH9f/js=")</f>
        <v>#REF!</v>
      </c>
      <c r="BI50" t="e">
        <f>AND('5 (Samb. 2)'!#REF!,"AAAAAH9f/jw=")</f>
        <v>#REF!</v>
      </c>
      <c r="BJ50" t="e">
        <f>AND('5 (Samb. 2)'!#REF!,"AAAAAH9f/j0=")</f>
        <v>#REF!</v>
      </c>
      <c r="BK50">
        <f>IF('5 (Samb. 2)'!14:14,"AAAAAH9f/j4=",0)</f>
        <v>0</v>
      </c>
      <c r="BL50" t="e">
        <f>AND('5 (Samb. 2)'!#REF!,"AAAAAH9f/j8=")</f>
        <v>#REF!</v>
      </c>
      <c r="BM50" t="e">
        <f>AND('5 (Samb. 2)'!A14,"AAAAAH9f/kA=")</f>
        <v>#VALUE!</v>
      </c>
      <c r="BN50" t="e">
        <f>AND('5 (Samb. 2)'!B14,"AAAAAH9f/kE=")</f>
        <v>#VALUE!</v>
      </c>
      <c r="BO50" t="e">
        <f>AND('5 (Samb. 2)'!#REF!,"AAAAAH9f/kI=")</f>
        <v>#REF!</v>
      </c>
      <c r="BP50" t="e">
        <f>AND('5 (Samb. 2)'!#REF!,"AAAAAH9f/kM=")</f>
        <v>#REF!</v>
      </c>
      <c r="BQ50" t="e">
        <f>AND('5 (Samb. 2)'!C14,"AAAAAH9f/kQ=")</f>
        <v>#VALUE!</v>
      </c>
      <c r="BR50" t="e">
        <f>AND('5 (Samb. 2)'!D14,"AAAAAH9f/kU=")</f>
        <v>#VALUE!</v>
      </c>
      <c r="BS50" t="e">
        <f>AND('5 (Samb. 2)'!E14,"AAAAAH9f/kY=")</f>
        <v>#VALUE!</v>
      </c>
      <c r="BT50" t="e">
        <f>AND('5 (Samb. 2)'!F14,"AAAAAH9f/kc=")</f>
        <v>#VALUE!</v>
      </c>
      <c r="BU50" t="e">
        <f>AND('5 (Samb. 2)'!G14,"AAAAAH9f/kg=")</f>
        <v>#VALUE!</v>
      </c>
      <c r="BV50" t="e">
        <f>AND('5 (Samb. 2)'!H14,"AAAAAH9f/kk=")</f>
        <v>#VALUE!</v>
      </c>
      <c r="BW50" t="e">
        <f>AND('5 (Samb. 2)'!I14,"AAAAAH9f/ko=")</f>
        <v>#VALUE!</v>
      </c>
      <c r="BX50" t="e">
        <f>AND('5 (Samb. 2)'!#REF!,"AAAAAH9f/ks=")</f>
        <v>#REF!</v>
      </c>
      <c r="BY50" t="e">
        <f>AND('5 (Samb. 2)'!#REF!,"AAAAAH9f/kw=")</f>
        <v>#REF!</v>
      </c>
      <c r="BZ50" t="e">
        <f>AND('5 (Samb. 2)'!#REF!,"AAAAAH9f/k0=")</f>
        <v>#REF!</v>
      </c>
      <c r="CA50" t="e">
        <f>AND('5 (Samb. 2)'!#REF!,"AAAAAH9f/k4=")</f>
        <v>#REF!</v>
      </c>
      <c r="CB50">
        <f>IF('5 (Samb. 2)'!15:15,"AAAAAH9f/k8=",0)</f>
        <v>0</v>
      </c>
      <c r="CC50" t="e">
        <f>AND('5 (Samb. 2)'!#REF!,"AAAAAH9f/lA=")</f>
        <v>#REF!</v>
      </c>
      <c r="CD50" t="e">
        <f>AND('5 (Samb. 2)'!A15,"AAAAAH9f/lE=")</f>
        <v>#VALUE!</v>
      </c>
      <c r="CE50" t="e">
        <f>AND('5 (Samb. 2)'!B15,"AAAAAH9f/lI=")</f>
        <v>#VALUE!</v>
      </c>
      <c r="CF50" t="e">
        <f>AND('5 (Samb. 2)'!#REF!,"AAAAAH9f/lM=")</f>
        <v>#REF!</v>
      </c>
      <c r="CG50" t="e">
        <f>AND('5 (Samb. 2)'!#REF!,"AAAAAH9f/lQ=")</f>
        <v>#REF!</v>
      </c>
      <c r="CH50" t="e">
        <f>AND('5 (Samb. 2)'!C15,"AAAAAH9f/lU=")</f>
        <v>#VALUE!</v>
      </c>
      <c r="CI50" t="e">
        <f>AND('5 (Samb. 2)'!D15,"AAAAAH9f/lY=")</f>
        <v>#VALUE!</v>
      </c>
      <c r="CJ50" t="e">
        <f>AND('5 (Samb. 2)'!E15,"AAAAAH9f/lc=")</f>
        <v>#VALUE!</v>
      </c>
      <c r="CK50" t="e">
        <f>AND('5 (Samb. 2)'!F15,"AAAAAH9f/lg=")</f>
        <v>#VALUE!</v>
      </c>
      <c r="CL50" t="e">
        <f>AND('5 (Samb. 2)'!G15,"AAAAAH9f/lk=")</f>
        <v>#VALUE!</v>
      </c>
      <c r="CM50" t="e">
        <f>AND('5 (Samb. 2)'!H15,"AAAAAH9f/lo=")</f>
        <v>#VALUE!</v>
      </c>
      <c r="CN50" t="e">
        <f>AND('5 (Samb. 2)'!I15,"AAAAAH9f/ls=")</f>
        <v>#VALUE!</v>
      </c>
      <c r="CO50" t="e">
        <f>AND('5 (Samb. 2)'!#REF!,"AAAAAH9f/lw=")</f>
        <v>#REF!</v>
      </c>
      <c r="CP50" t="e">
        <f>AND('5 (Samb. 2)'!#REF!,"AAAAAH9f/l0=")</f>
        <v>#REF!</v>
      </c>
      <c r="CQ50" t="e">
        <f>AND('5 (Samb. 2)'!#REF!,"AAAAAH9f/l4=")</f>
        <v>#REF!</v>
      </c>
      <c r="CR50" t="e">
        <f>AND('5 (Samb. 2)'!#REF!,"AAAAAH9f/l8=")</f>
        <v>#REF!</v>
      </c>
      <c r="CS50" t="e">
        <f>IF('5 (Samb. 2)'!#REF!,"AAAAAH9f/mA=",0)</f>
        <v>#REF!</v>
      </c>
      <c r="CT50" t="e">
        <f>AND('5 (Samb. 2)'!#REF!,"AAAAAH9f/mE=")</f>
        <v>#REF!</v>
      </c>
      <c r="CU50" t="e">
        <f>AND('5 (Samb. 2)'!#REF!,"AAAAAH9f/mI=")</f>
        <v>#REF!</v>
      </c>
      <c r="CV50" t="e">
        <f>AND('5 (Samb. 2)'!#REF!,"AAAAAH9f/mM=")</f>
        <v>#REF!</v>
      </c>
      <c r="CW50" t="e">
        <f>AND('5 (Samb. 2)'!#REF!,"AAAAAH9f/mQ=")</f>
        <v>#REF!</v>
      </c>
      <c r="CX50" t="e">
        <f>AND('5 (Samb. 2)'!#REF!,"AAAAAH9f/mU=")</f>
        <v>#REF!</v>
      </c>
      <c r="CY50" t="e">
        <f>AND('5 (Samb. 2)'!#REF!,"AAAAAH9f/mY=")</f>
        <v>#REF!</v>
      </c>
      <c r="CZ50" t="e">
        <f>AND('5 (Samb. 2)'!#REF!,"AAAAAH9f/mc=")</f>
        <v>#REF!</v>
      </c>
      <c r="DA50" t="e">
        <f>AND('5 (Samb. 2)'!#REF!,"AAAAAH9f/mg=")</f>
        <v>#REF!</v>
      </c>
      <c r="DB50" t="e">
        <f>AND('5 (Samb. 2)'!#REF!,"AAAAAH9f/mk=")</f>
        <v>#REF!</v>
      </c>
      <c r="DC50" t="e">
        <f>AND('5 (Samb. 2)'!#REF!,"AAAAAH9f/mo=")</f>
        <v>#REF!</v>
      </c>
      <c r="DD50" t="e">
        <f>AND('5 (Samb. 2)'!#REF!,"AAAAAH9f/ms=")</f>
        <v>#REF!</v>
      </c>
      <c r="DE50" t="e">
        <f>AND('5 (Samb. 2)'!#REF!,"AAAAAH9f/mw=")</f>
        <v>#REF!</v>
      </c>
      <c r="DF50" t="e">
        <f>AND('5 (Samb. 2)'!#REF!,"AAAAAH9f/m0=")</f>
        <v>#REF!</v>
      </c>
      <c r="DG50" t="e">
        <f>AND('5 (Samb. 2)'!#REF!,"AAAAAH9f/m4=")</f>
        <v>#REF!</v>
      </c>
      <c r="DH50" t="e">
        <f>AND('5 (Samb. 2)'!#REF!,"AAAAAH9f/m8=")</f>
        <v>#REF!</v>
      </c>
      <c r="DI50" t="e">
        <f>AND('5 (Samb. 2)'!#REF!,"AAAAAH9f/nA=")</f>
        <v>#REF!</v>
      </c>
      <c r="DJ50" t="e">
        <f>IF('5 (Samb. 2)'!#REF!,"AAAAAH9f/nE=",0)</f>
        <v>#REF!</v>
      </c>
      <c r="DK50" t="e">
        <f>AND('5 (Samb. 2)'!#REF!,"AAAAAH9f/nI=")</f>
        <v>#REF!</v>
      </c>
      <c r="DL50" t="e">
        <f>AND('5 (Samb. 2)'!#REF!,"AAAAAH9f/nM=")</f>
        <v>#REF!</v>
      </c>
      <c r="DM50" t="e">
        <f>AND('5 (Samb. 2)'!#REF!,"AAAAAH9f/nQ=")</f>
        <v>#REF!</v>
      </c>
      <c r="DN50" t="e">
        <f>AND('5 (Samb. 2)'!#REF!,"AAAAAH9f/nU=")</f>
        <v>#REF!</v>
      </c>
      <c r="DO50" t="e">
        <f>AND('5 (Samb. 2)'!#REF!,"AAAAAH9f/nY=")</f>
        <v>#REF!</v>
      </c>
      <c r="DP50" t="e">
        <f>AND('5 (Samb. 2)'!#REF!,"AAAAAH9f/nc=")</f>
        <v>#REF!</v>
      </c>
      <c r="DQ50" t="e">
        <f>AND('5 (Samb. 2)'!#REF!,"AAAAAH9f/ng=")</f>
        <v>#REF!</v>
      </c>
      <c r="DR50" t="e">
        <f>AND('5 (Samb. 2)'!#REF!,"AAAAAH9f/nk=")</f>
        <v>#REF!</v>
      </c>
      <c r="DS50" t="e">
        <f>AND('5 (Samb. 2)'!#REF!,"AAAAAH9f/no=")</f>
        <v>#REF!</v>
      </c>
      <c r="DT50" t="e">
        <f>AND('5 (Samb. 2)'!#REF!,"AAAAAH9f/ns=")</f>
        <v>#REF!</v>
      </c>
      <c r="DU50" t="e">
        <f>AND('5 (Samb. 2)'!#REF!,"AAAAAH9f/nw=")</f>
        <v>#REF!</v>
      </c>
      <c r="DV50" t="e">
        <f>AND('5 (Samb. 2)'!#REF!,"AAAAAH9f/n0=")</f>
        <v>#REF!</v>
      </c>
      <c r="DW50" t="e">
        <f>AND('5 (Samb. 2)'!#REF!,"AAAAAH9f/n4=")</f>
        <v>#REF!</v>
      </c>
      <c r="DX50" t="e">
        <f>AND('5 (Samb. 2)'!#REF!,"AAAAAH9f/n8=")</f>
        <v>#REF!</v>
      </c>
      <c r="DY50" t="e">
        <f>AND('5 (Samb. 2)'!#REF!,"AAAAAH9f/oA=")</f>
        <v>#REF!</v>
      </c>
      <c r="DZ50" t="e">
        <f>AND('5 (Samb. 2)'!#REF!,"AAAAAH9f/oE=")</f>
        <v>#REF!</v>
      </c>
      <c r="EA50" t="e">
        <f>IF('5 (Samb. 2)'!#REF!,"AAAAAH9f/oI=",0)</f>
        <v>#REF!</v>
      </c>
      <c r="EB50" t="e">
        <f>AND('5 (Samb. 2)'!#REF!,"AAAAAH9f/oM=")</f>
        <v>#REF!</v>
      </c>
      <c r="EC50" t="e">
        <f>AND('5 (Samb. 2)'!#REF!,"AAAAAH9f/oQ=")</f>
        <v>#REF!</v>
      </c>
      <c r="ED50" t="e">
        <f>AND('5 (Samb. 2)'!#REF!,"AAAAAH9f/oU=")</f>
        <v>#REF!</v>
      </c>
      <c r="EE50" t="e">
        <f>AND('5 (Samb. 2)'!#REF!,"AAAAAH9f/oY=")</f>
        <v>#REF!</v>
      </c>
      <c r="EF50" t="e">
        <f>AND('5 (Samb. 2)'!#REF!,"AAAAAH9f/oc=")</f>
        <v>#REF!</v>
      </c>
      <c r="EG50" t="e">
        <f>AND('5 (Samb. 2)'!#REF!,"AAAAAH9f/og=")</f>
        <v>#REF!</v>
      </c>
      <c r="EH50" t="e">
        <f>AND('5 (Samb. 2)'!#REF!,"AAAAAH9f/ok=")</f>
        <v>#REF!</v>
      </c>
      <c r="EI50" t="e">
        <f>AND('5 (Samb. 2)'!#REF!,"AAAAAH9f/oo=")</f>
        <v>#REF!</v>
      </c>
      <c r="EJ50" t="e">
        <f>AND('5 (Samb. 2)'!#REF!,"AAAAAH9f/os=")</f>
        <v>#REF!</v>
      </c>
      <c r="EK50" t="e">
        <f>AND('5 (Samb. 2)'!#REF!,"AAAAAH9f/ow=")</f>
        <v>#REF!</v>
      </c>
      <c r="EL50" t="e">
        <f>AND('5 (Samb. 2)'!#REF!,"AAAAAH9f/o0=")</f>
        <v>#REF!</v>
      </c>
      <c r="EM50" t="e">
        <f>AND('5 (Samb. 2)'!#REF!,"AAAAAH9f/o4=")</f>
        <v>#REF!</v>
      </c>
      <c r="EN50" t="e">
        <f>AND('5 (Samb. 2)'!#REF!,"AAAAAH9f/o8=")</f>
        <v>#REF!</v>
      </c>
      <c r="EO50" t="e">
        <f>AND('5 (Samb. 2)'!#REF!,"AAAAAH9f/pA=")</f>
        <v>#REF!</v>
      </c>
      <c r="EP50" t="e">
        <f>AND('5 (Samb. 2)'!#REF!,"AAAAAH9f/pE=")</f>
        <v>#REF!</v>
      </c>
      <c r="EQ50" t="e">
        <f>AND('5 (Samb. 2)'!#REF!,"AAAAAH9f/pI=")</f>
        <v>#REF!</v>
      </c>
      <c r="ER50" t="e">
        <f>IF('5 (Samb. 2)'!#REF!,"AAAAAH9f/pM=",0)</f>
        <v>#REF!</v>
      </c>
      <c r="ES50" t="e">
        <f>AND('5 (Samb. 2)'!#REF!,"AAAAAH9f/pQ=")</f>
        <v>#REF!</v>
      </c>
      <c r="ET50" t="e">
        <f>AND('5 (Samb. 2)'!#REF!,"AAAAAH9f/pU=")</f>
        <v>#REF!</v>
      </c>
      <c r="EU50" t="e">
        <f>AND('5 (Samb. 2)'!#REF!,"AAAAAH9f/pY=")</f>
        <v>#REF!</v>
      </c>
      <c r="EV50" t="e">
        <f>AND('5 (Samb. 2)'!#REF!,"AAAAAH9f/pc=")</f>
        <v>#REF!</v>
      </c>
      <c r="EW50" t="e">
        <f>AND('5 (Samb. 2)'!#REF!,"AAAAAH9f/pg=")</f>
        <v>#REF!</v>
      </c>
      <c r="EX50" t="e">
        <f>AND('5 (Samb. 2)'!#REF!,"AAAAAH9f/pk=")</f>
        <v>#REF!</v>
      </c>
      <c r="EY50" t="e">
        <f>AND('5 (Samb. 2)'!#REF!,"AAAAAH9f/po=")</f>
        <v>#REF!</v>
      </c>
      <c r="EZ50" t="e">
        <f>AND('5 (Samb. 2)'!#REF!,"AAAAAH9f/ps=")</f>
        <v>#REF!</v>
      </c>
      <c r="FA50" t="e">
        <f>AND('5 (Samb. 2)'!#REF!,"AAAAAH9f/pw=")</f>
        <v>#REF!</v>
      </c>
      <c r="FB50" t="e">
        <f>AND('5 (Samb. 2)'!#REF!,"AAAAAH9f/p0=")</f>
        <v>#REF!</v>
      </c>
      <c r="FC50" t="e">
        <f>AND('5 (Samb. 2)'!#REF!,"AAAAAH9f/p4=")</f>
        <v>#REF!</v>
      </c>
      <c r="FD50" t="e">
        <f>AND('5 (Samb. 2)'!#REF!,"AAAAAH9f/p8=")</f>
        <v>#REF!</v>
      </c>
      <c r="FE50" t="e">
        <f>AND('5 (Samb. 2)'!#REF!,"AAAAAH9f/qA=")</f>
        <v>#REF!</v>
      </c>
      <c r="FF50" t="e">
        <f>AND('5 (Samb. 2)'!#REF!,"AAAAAH9f/qE=")</f>
        <v>#REF!</v>
      </c>
      <c r="FG50" t="e">
        <f>AND('5 (Samb. 2)'!#REF!,"AAAAAH9f/qI=")</f>
        <v>#REF!</v>
      </c>
      <c r="FH50" t="e">
        <f>AND('5 (Samb. 2)'!#REF!,"AAAAAH9f/qM=")</f>
        <v>#REF!</v>
      </c>
      <c r="FI50" t="e">
        <f>IF('5 (Samb. 2)'!#REF!,"AAAAAH9f/qQ=",0)</f>
        <v>#REF!</v>
      </c>
      <c r="FJ50" t="e">
        <f>AND('5 (Samb. 2)'!#REF!,"AAAAAH9f/qU=")</f>
        <v>#REF!</v>
      </c>
      <c r="FK50" t="e">
        <f>AND('5 (Samb. 2)'!#REF!,"AAAAAH9f/qY=")</f>
        <v>#REF!</v>
      </c>
      <c r="FL50" t="e">
        <f>AND('5 (Samb. 2)'!#REF!,"AAAAAH9f/qc=")</f>
        <v>#REF!</v>
      </c>
      <c r="FM50" t="e">
        <f>AND('5 (Samb. 2)'!#REF!,"AAAAAH9f/qg=")</f>
        <v>#REF!</v>
      </c>
      <c r="FN50" t="e">
        <f>AND('5 (Samb. 2)'!#REF!,"AAAAAH9f/qk=")</f>
        <v>#REF!</v>
      </c>
      <c r="FO50" t="e">
        <f>AND('5 (Samb. 2)'!#REF!,"AAAAAH9f/qo=")</f>
        <v>#REF!</v>
      </c>
      <c r="FP50" t="e">
        <f>AND('5 (Samb. 2)'!#REF!,"AAAAAH9f/qs=")</f>
        <v>#REF!</v>
      </c>
      <c r="FQ50" t="e">
        <f>AND('5 (Samb. 2)'!#REF!,"AAAAAH9f/qw=")</f>
        <v>#REF!</v>
      </c>
      <c r="FR50" t="e">
        <f>AND('5 (Samb. 2)'!#REF!,"AAAAAH9f/q0=")</f>
        <v>#REF!</v>
      </c>
      <c r="FS50" t="e">
        <f>AND('5 (Samb. 2)'!#REF!,"AAAAAH9f/q4=")</f>
        <v>#REF!</v>
      </c>
      <c r="FT50" t="e">
        <f>AND('5 (Samb. 2)'!#REF!,"AAAAAH9f/q8=")</f>
        <v>#REF!</v>
      </c>
      <c r="FU50" t="e">
        <f>AND('5 (Samb. 2)'!#REF!,"AAAAAH9f/rA=")</f>
        <v>#REF!</v>
      </c>
      <c r="FV50" t="e">
        <f>AND('5 (Samb. 2)'!#REF!,"AAAAAH9f/rE=")</f>
        <v>#REF!</v>
      </c>
      <c r="FW50" t="e">
        <f>AND('5 (Samb. 2)'!#REF!,"AAAAAH9f/rI=")</f>
        <v>#REF!</v>
      </c>
      <c r="FX50" t="e">
        <f>AND('5 (Samb. 2)'!#REF!,"AAAAAH9f/rM=")</f>
        <v>#REF!</v>
      </c>
      <c r="FY50" t="e">
        <f>AND('5 (Samb. 2)'!#REF!,"AAAAAH9f/rQ=")</f>
        <v>#REF!</v>
      </c>
      <c r="FZ50" t="e">
        <f>IF('5 (Samb. 2)'!#REF!,"AAAAAH9f/rU=",0)</f>
        <v>#REF!</v>
      </c>
      <c r="GA50" t="e">
        <f>AND('5 (Samb. 2)'!#REF!,"AAAAAH9f/rY=")</f>
        <v>#REF!</v>
      </c>
      <c r="GB50" t="e">
        <f>AND('5 (Samb. 2)'!#REF!,"AAAAAH9f/rc=")</f>
        <v>#REF!</v>
      </c>
      <c r="GC50" t="e">
        <f>AND('5 (Samb. 2)'!#REF!,"AAAAAH9f/rg=")</f>
        <v>#REF!</v>
      </c>
      <c r="GD50" t="e">
        <f>AND('5 (Samb. 2)'!#REF!,"AAAAAH9f/rk=")</f>
        <v>#REF!</v>
      </c>
      <c r="GE50" t="e">
        <f>AND('5 (Samb. 2)'!#REF!,"AAAAAH9f/ro=")</f>
        <v>#REF!</v>
      </c>
      <c r="GF50" t="e">
        <f>AND('5 (Samb. 2)'!#REF!,"AAAAAH9f/rs=")</f>
        <v>#REF!</v>
      </c>
      <c r="GG50" t="e">
        <f>AND('5 (Samb. 2)'!#REF!,"AAAAAH9f/rw=")</f>
        <v>#REF!</v>
      </c>
      <c r="GH50" t="e">
        <f>AND('5 (Samb. 2)'!#REF!,"AAAAAH9f/r0=")</f>
        <v>#REF!</v>
      </c>
      <c r="GI50" t="e">
        <f>AND('5 (Samb. 2)'!#REF!,"AAAAAH9f/r4=")</f>
        <v>#REF!</v>
      </c>
      <c r="GJ50" t="e">
        <f>AND('5 (Samb. 2)'!#REF!,"AAAAAH9f/r8=")</f>
        <v>#REF!</v>
      </c>
      <c r="GK50" t="e">
        <f>AND('5 (Samb. 2)'!#REF!,"AAAAAH9f/sA=")</f>
        <v>#REF!</v>
      </c>
      <c r="GL50" t="e">
        <f>AND('5 (Samb. 2)'!#REF!,"AAAAAH9f/sE=")</f>
        <v>#REF!</v>
      </c>
      <c r="GM50" t="e">
        <f>AND('5 (Samb. 2)'!#REF!,"AAAAAH9f/sI=")</f>
        <v>#REF!</v>
      </c>
      <c r="GN50" t="e">
        <f>AND('5 (Samb. 2)'!#REF!,"AAAAAH9f/sM=")</f>
        <v>#REF!</v>
      </c>
      <c r="GO50" t="e">
        <f>AND('5 (Samb. 2)'!#REF!,"AAAAAH9f/sQ=")</f>
        <v>#REF!</v>
      </c>
      <c r="GP50" t="e">
        <f>AND('5 (Samb. 2)'!#REF!,"AAAAAH9f/sU=")</f>
        <v>#REF!</v>
      </c>
      <c r="GQ50" t="e">
        <f>IF('5 (Samb. 2)'!#REF!,"AAAAAH9f/sY=",0)</f>
        <v>#REF!</v>
      </c>
      <c r="GR50" t="e">
        <f>AND('5 (Samb. 2)'!#REF!,"AAAAAH9f/sc=")</f>
        <v>#REF!</v>
      </c>
      <c r="GS50" t="e">
        <f>AND('5 (Samb. 2)'!#REF!,"AAAAAH9f/sg=")</f>
        <v>#REF!</v>
      </c>
      <c r="GT50" t="e">
        <f>AND('5 (Samb. 2)'!#REF!,"AAAAAH9f/sk=")</f>
        <v>#REF!</v>
      </c>
      <c r="GU50" t="e">
        <f>AND('5 (Samb. 2)'!#REF!,"AAAAAH9f/so=")</f>
        <v>#REF!</v>
      </c>
      <c r="GV50" t="e">
        <f>AND('5 (Samb. 2)'!#REF!,"AAAAAH9f/ss=")</f>
        <v>#REF!</v>
      </c>
      <c r="GW50" t="e">
        <f>AND('5 (Samb. 2)'!#REF!,"AAAAAH9f/sw=")</f>
        <v>#REF!</v>
      </c>
      <c r="GX50" t="e">
        <f>AND('5 (Samb. 2)'!#REF!,"AAAAAH9f/s0=")</f>
        <v>#REF!</v>
      </c>
      <c r="GY50" t="e">
        <f>AND('5 (Samb. 2)'!#REF!,"AAAAAH9f/s4=")</f>
        <v>#REF!</v>
      </c>
      <c r="GZ50" t="e">
        <f>AND('5 (Samb. 2)'!#REF!,"AAAAAH9f/s8=")</f>
        <v>#REF!</v>
      </c>
      <c r="HA50" t="e">
        <f>AND('5 (Samb. 2)'!#REF!,"AAAAAH9f/tA=")</f>
        <v>#REF!</v>
      </c>
      <c r="HB50" t="e">
        <f>AND('5 (Samb. 2)'!#REF!,"AAAAAH9f/tE=")</f>
        <v>#REF!</v>
      </c>
      <c r="HC50" t="e">
        <f>AND('5 (Samb. 2)'!#REF!,"AAAAAH9f/tI=")</f>
        <v>#REF!</v>
      </c>
      <c r="HD50" t="e">
        <f>AND('5 (Samb. 2)'!#REF!,"AAAAAH9f/tM=")</f>
        <v>#REF!</v>
      </c>
      <c r="HE50" t="e">
        <f>AND('5 (Samb. 2)'!#REF!,"AAAAAH9f/tQ=")</f>
        <v>#REF!</v>
      </c>
      <c r="HF50" t="e">
        <f>AND('5 (Samb. 2)'!#REF!,"AAAAAH9f/tU=")</f>
        <v>#REF!</v>
      </c>
      <c r="HG50" t="e">
        <f>AND('5 (Samb. 2)'!#REF!,"AAAAAH9f/tY=")</f>
        <v>#REF!</v>
      </c>
      <c r="HH50" t="e">
        <f>IF('5 (Samb. 2)'!#REF!,"AAAAAH9f/tc=",0)</f>
        <v>#REF!</v>
      </c>
      <c r="HI50" t="e">
        <f>AND('5 (Samb. 2)'!#REF!,"AAAAAH9f/tg=")</f>
        <v>#REF!</v>
      </c>
      <c r="HJ50" t="e">
        <f>AND('5 (Samb. 2)'!#REF!,"AAAAAH9f/tk=")</f>
        <v>#REF!</v>
      </c>
      <c r="HK50" t="e">
        <f>AND('5 (Samb. 2)'!#REF!,"AAAAAH9f/to=")</f>
        <v>#REF!</v>
      </c>
      <c r="HL50" t="e">
        <f>AND('5 (Samb. 2)'!#REF!,"AAAAAH9f/ts=")</f>
        <v>#REF!</v>
      </c>
      <c r="HM50" t="e">
        <f>AND('5 (Samb. 2)'!#REF!,"AAAAAH9f/tw=")</f>
        <v>#REF!</v>
      </c>
      <c r="HN50" t="e">
        <f>AND('5 (Samb. 2)'!#REF!,"AAAAAH9f/t0=")</f>
        <v>#REF!</v>
      </c>
      <c r="HO50" t="e">
        <f>AND('5 (Samb. 2)'!#REF!,"AAAAAH9f/t4=")</f>
        <v>#REF!</v>
      </c>
      <c r="HP50" t="e">
        <f>AND('5 (Samb. 2)'!#REF!,"AAAAAH9f/t8=")</f>
        <v>#REF!</v>
      </c>
      <c r="HQ50" t="e">
        <f>AND('5 (Samb. 2)'!#REF!,"AAAAAH9f/uA=")</f>
        <v>#REF!</v>
      </c>
      <c r="HR50" t="e">
        <f>AND('5 (Samb. 2)'!#REF!,"AAAAAH9f/uE=")</f>
        <v>#REF!</v>
      </c>
      <c r="HS50" t="e">
        <f>AND('5 (Samb. 2)'!#REF!,"AAAAAH9f/uI=")</f>
        <v>#REF!</v>
      </c>
      <c r="HT50" t="e">
        <f>AND('5 (Samb. 2)'!#REF!,"AAAAAH9f/uM=")</f>
        <v>#REF!</v>
      </c>
      <c r="HU50" t="e">
        <f>AND('5 (Samb. 2)'!#REF!,"AAAAAH9f/uQ=")</f>
        <v>#REF!</v>
      </c>
      <c r="HV50" t="e">
        <f>AND('5 (Samb. 2)'!#REF!,"AAAAAH9f/uU=")</f>
        <v>#REF!</v>
      </c>
      <c r="HW50" t="e">
        <f>AND('5 (Samb. 2)'!#REF!,"AAAAAH9f/uY=")</f>
        <v>#REF!</v>
      </c>
      <c r="HX50" t="e">
        <f>AND('5 (Samb. 2)'!#REF!,"AAAAAH9f/uc=")</f>
        <v>#REF!</v>
      </c>
      <c r="HY50" t="e">
        <f>IF('5 (Samb. 2)'!#REF!,"AAAAAH9f/ug=",0)</f>
        <v>#REF!</v>
      </c>
      <c r="HZ50" t="e">
        <f>AND('5 (Samb. 2)'!#REF!,"AAAAAH9f/uk=")</f>
        <v>#REF!</v>
      </c>
      <c r="IA50" t="e">
        <f>AND('5 (Samb. 2)'!#REF!,"AAAAAH9f/uo=")</f>
        <v>#REF!</v>
      </c>
      <c r="IB50" t="e">
        <f>AND('5 (Samb. 2)'!#REF!,"AAAAAH9f/us=")</f>
        <v>#REF!</v>
      </c>
      <c r="IC50" t="e">
        <f>AND('5 (Samb. 2)'!#REF!,"AAAAAH9f/uw=")</f>
        <v>#REF!</v>
      </c>
      <c r="ID50" t="e">
        <f>AND('5 (Samb. 2)'!#REF!,"AAAAAH9f/u0=")</f>
        <v>#REF!</v>
      </c>
      <c r="IE50" t="e">
        <f>AND('5 (Samb. 2)'!#REF!,"AAAAAH9f/u4=")</f>
        <v>#REF!</v>
      </c>
      <c r="IF50" t="e">
        <f>AND('5 (Samb. 2)'!#REF!,"AAAAAH9f/u8=")</f>
        <v>#REF!</v>
      </c>
      <c r="IG50" t="e">
        <f>AND('5 (Samb. 2)'!#REF!,"AAAAAH9f/vA=")</f>
        <v>#REF!</v>
      </c>
      <c r="IH50" t="e">
        <f>AND('5 (Samb. 2)'!#REF!,"AAAAAH9f/vE=")</f>
        <v>#REF!</v>
      </c>
      <c r="II50" t="e">
        <f>AND('5 (Samb. 2)'!#REF!,"AAAAAH9f/vI=")</f>
        <v>#REF!</v>
      </c>
      <c r="IJ50" t="e">
        <f>AND('5 (Samb. 2)'!#REF!,"AAAAAH9f/vM=")</f>
        <v>#REF!</v>
      </c>
      <c r="IK50" t="e">
        <f>AND('5 (Samb. 2)'!#REF!,"AAAAAH9f/vQ=")</f>
        <v>#REF!</v>
      </c>
      <c r="IL50" t="e">
        <f>AND('5 (Samb. 2)'!#REF!,"AAAAAH9f/vU=")</f>
        <v>#REF!</v>
      </c>
      <c r="IM50" t="e">
        <f>AND('5 (Samb. 2)'!#REF!,"AAAAAH9f/vY=")</f>
        <v>#REF!</v>
      </c>
      <c r="IN50" t="e">
        <f>AND('5 (Samb. 2)'!#REF!,"AAAAAH9f/vc=")</f>
        <v>#REF!</v>
      </c>
      <c r="IO50" t="e">
        <f>AND('5 (Samb. 2)'!#REF!,"AAAAAH9f/vg=")</f>
        <v>#REF!</v>
      </c>
      <c r="IP50" t="e">
        <f>IF('5 (Samb. 2)'!#REF!,"AAAAAH9f/vk=",0)</f>
        <v>#REF!</v>
      </c>
      <c r="IQ50" t="e">
        <f>AND('5 (Samb. 2)'!#REF!,"AAAAAH9f/vo=")</f>
        <v>#REF!</v>
      </c>
      <c r="IR50" t="e">
        <f>AND('5 (Samb. 2)'!#REF!,"AAAAAH9f/vs=")</f>
        <v>#REF!</v>
      </c>
      <c r="IS50" t="e">
        <f>AND('5 (Samb. 2)'!#REF!,"AAAAAH9f/vw=")</f>
        <v>#REF!</v>
      </c>
      <c r="IT50" t="e">
        <f>AND('5 (Samb. 2)'!#REF!,"AAAAAH9f/v0=")</f>
        <v>#REF!</v>
      </c>
      <c r="IU50" t="e">
        <f>AND('5 (Samb. 2)'!#REF!,"AAAAAH9f/v4=")</f>
        <v>#REF!</v>
      </c>
      <c r="IV50" t="e">
        <f>AND('5 (Samb. 2)'!#REF!,"AAAAAH9f/v8=")</f>
        <v>#REF!</v>
      </c>
    </row>
    <row r="51" spans="1:256" x14ac:dyDescent="0.25">
      <c r="A51" t="e">
        <f>AND('5 (Samb. 2)'!#REF!,"AAAAAD9n9wA=")</f>
        <v>#REF!</v>
      </c>
      <c r="B51" t="e">
        <f>AND('5 (Samb. 2)'!#REF!,"AAAAAD9n9wE=")</f>
        <v>#REF!</v>
      </c>
      <c r="C51" t="e">
        <f>AND('5 (Samb. 2)'!#REF!,"AAAAAD9n9wI=")</f>
        <v>#REF!</v>
      </c>
      <c r="D51" t="e">
        <f>AND('5 (Samb. 2)'!#REF!,"AAAAAD9n9wM=")</f>
        <v>#REF!</v>
      </c>
      <c r="E51" t="e">
        <f>AND('5 (Samb. 2)'!#REF!,"AAAAAD9n9wQ=")</f>
        <v>#REF!</v>
      </c>
      <c r="F51" t="e">
        <f>AND('5 (Samb. 2)'!#REF!,"AAAAAD9n9wU=")</f>
        <v>#REF!</v>
      </c>
      <c r="G51" t="e">
        <f>AND('5 (Samb. 2)'!#REF!,"AAAAAD9n9wY=")</f>
        <v>#REF!</v>
      </c>
      <c r="H51" t="e">
        <f>AND('5 (Samb. 2)'!#REF!,"AAAAAD9n9wc=")</f>
        <v>#REF!</v>
      </c>
      <c r="I51" t="e">
        <f>AND('5 (Samb. 2)'!#REF!,"AAAAAD9n9wg=")</f>
        <v>#REF!</v>
      </c>
      <c r="J51" t="e">
        <f>AND('5 (Samb. 2)'!#REF!,"AAAAAD9n9wk=")</f>
        <v>#REF!</v>
      </c>
      <c r="K51" t="e">
        <f>IF('5 (Samb. 2)'!#REF!,"AAAAAD9n9wo=",0)</f>
        <v>#REF!</v>
      </c>
      <c r="L51" t="e">
        <f>AND('5 (Samb. 2)'!#REF!,"AAAAAD9n9ws=")</f>
        <v>#REF!</v>
      </c>
      <c r="M51" t="e">
        <f>AND('5 (Samb. 2)'!#REF!,"AAAAAD9n9ww=")</f>
        <v>#REF!</v>
      </c>
      <c r="N51" t="e">
        <f>AND('5 (Samb. 2)'!#REF!,"AAAAAD9n9w0=")</f>
        <v>#REF!</v>
      </c>
      <c r="O51" t="e">
        <f>AND('5 (Samb. 2)'!#REF!,"AAAAAD9n9w4=")</f>
        <v>#REF!</v>
      </c>
      <c r="P51" t="e">
        <f>AND('5 (Samb. 2)'!#REF!,"AAAAAD9n9w8=")</f>
        <v>#REF!</v>
      </c>
      <c r="Q51" t="e">
        <f>AND('5 (Samb. 2)'!#REF!,"AAAAAD9n9xA=")</f>
        <v>#REF!</v>
      </c>
      <c r="R51" t="e">
        <f>AND('5 (Samb. 2)'!#REF!,"AAAAAD9n9xE=")</f>
        <v>#REF!</v>
      </c>
      <c r="S51" t="e">
        <f>AND('5 (Samb. 2)'!#REF!,"AAAAAD9n9xI=")</f>
        <v>#REF!</v>
      </c>
      <c r="T51" t="e">
        <f>AND('5 (Samb. 2)'!#REF!,"AAAAAD9n9xM=")</f>
        <v>#REF!</v>
      </c>
      <c r="U51" t="e">
        <f>AND('5 (Samb. 2)'!#REF!,"AAAAAD9n9xQ=")</f>
        <v>#REF!</v>
      </c>
      <c r="V51" t="e">
        <f>AND('5 (Samb. 2)'!#REF!,"AAAAAD9n9xU=")</f>
        <v>#REF!</v>
      </c>
      <c r="W51" t="e">
        <f>AND('5 (Samb. 2)'!#REF!,"AAAAAD9n9xY=")</f>
        <v>#REF!</v>
      </c>
      <c r="X51" t="e">
        <f>AND('5 (Samb. 2)'!#REF!,"AAAAAD9n9xc=")</f>
        <v>#REF!</v>
      </c>
      <c r="Y51" t="e">
        <f>AND('5 (Samb. 2)'!#REF!,"AAAAAD9n9xg=")</f>
        <v>#REF!</v>
      </c>
      <c r="Z51" t="e">
        <f>AND('5 (Samb. 2)'!#REF!,"AAAAAD9n9xk=")</f>
        <v>#REF!</v>
      </c>
      <c r="AA51" t="e">
        <f>AND('5 (Samb. 2)'!#REF!,"AAAAAD9n9xo=")</f>
        <v>#REF!</v>
      </c>
      <c r="AB51" t="e">
        <f>IF('5 (Samb. 2)'!#REF!,"AAAAAD9n9xs=",0)</f>
        <v>#REF!</v>
      </c>
      <c r="AC51" t="e">
        <f>AND('5 (Samb. 2)'!#REF!,"AAAAAD9n9xw=")</f>
        <v>#REF!</v>
      </c>
      <c r="AD51" t="e">
        <f>AND('5 (Samb. 2)'!#REF!,"AAAAAD9n9x0=")</f>
        <v>#REF!</v>
      </c>
      <c r="AE51" t="e">
        <f>AND('5 (Samb. 2)'!#REF!,"AAAAAD9n9x4=")</f>
        <v>#REF!</v>
      </c>
      <c r="AF51" t="e">
        <f>AND('5 (Samb. 2)'!#REF!,"AAAAAD9n9x8=")</f>
        <v>#REF!</v>
      </c>
      <c r="AG51" t="e">
        <f>AND('5 (Samb. 2)'!#REF!,"AAAAAD9n9yA=")</f>
        <v>#REF!</v>
      </c>
      <c r="AH51" t="e">
        <f>AND('5 (Samb. 2)'!#REF!,"AAAAAD9n9yE=")</f>
        <v>#REF!</v>
      </c>
      <c r="AI51" t="e">
        <f>AND('5 (Samb. 2)'!#REF!,"AAAAAD9n9yI=")</f>
        <v>#REF!</v>
      </c>
      <c r="AJ51" t="e">
        <f>AND('5 (Samb. 2)'!#REF!,"AAAAAD9n9yM=")</f>
        <v>#REF!</v>
      </c>
      <c r="AK51" t="e">
        <f>AND('5 (Samb. 2)'!#REF!,"AAAAAD9n9yQ=")</f>
        <v>#REF!</v>
      </c>
      <c r="AL51" t="e">
        <f>AND('5 (Samb. 2)'!#REF!,"AAAAAD9n9yU=")</f>
        <v>#REF!</v>
      </c>
      <c r="AM51" t="e">
        <f>AND('5 (Samb. 2)'!#REF!,"AAAAAD9n9yY=")</f>
        <v>#REF!</v>
      </c>
      <c r="AN51" t="e">
        <f>AND('5 (Samb. 2)'!#REF!,"AAAAAD9n9yc=")</f>
        <v>#REF!</v>
      </c>
      <c r="AO51" t="e">
        <f>AND('5 (Samb. 2)'!#REF!,"AAAAAD9n9yg=")</f>
        <v>#REF!</v>
      </c>
      <c r="AP51" t="e">
        <f>AND('5 (Samb. 2)'!#REF!,"AAAAAD9n9yk=")</f>
        <v>#REF!</v>
      </c>
      <c r="AQ51" t="e">
        <f>AND('5 (Samb. 2)'!#REF!,"AAAAAD9n9yo=")</f>
        <v>#REF!</v>
      </c>
      <c r="AR51" t="e">
        <f>AND('5 (Samb. 2)'!#REF!,"AAAAAD9n9ys=")</f>
        <v>#REF!</v>
      </c>
      <c r="AS51" t="e">
        <f>IF('5 (Samb. 2)'!#REF!,"AAAAAD9n9yw=",0)</f>
        <v>#REF!</v>
      </c>
      <c r="AT51" t="e">
        <f>AND('5 (Samb. 2)'!#REF!,"AAAAAD9n9y0=")</f>
        <v>#REF!</v>
      </c>
      <c r="AU51" t="e">
        <f>AND('5 (Samb. 2)'!#REF!,"AAAAAD9n9y4=")</f>
        <v>#REF!</v>
      </c>
      <c r="AV51" t="e">
        <f>AND('5 (Samb. 2)'!#REF!,"AAAAAD9n9y8=")</f>
        <v>#REF!</v>
      </c>
      <c r="AW51" t="e">
        <f>AND('5 (Samb. 2)'!#REF!,"AAAAAD9n9zA=")</f>
        <v>#REF!</v>
      </c>
      <c r="AX51" t="e">
        <f>AND('5 (Samb. 2)'!#REF!,"AAAAAD9n9zE=")</f>
        <v>#REF!</v>
      </c>
      <c r="AY51" t="e">
        <f>AND('5 (Samb. 2)'!#REF!,"AAAAAD9n9zI=")</f>
        <v>#REF!</v>
      </c>
      <c r="AZ51" t="e">
        <f>AND('5 (Samb. 2)'!#REF!,"AAAAAD9n9zM=")</f>
        <v>#REF!</v>
      </c>
      <c r="BA51" t="e">
        <f>AND('5 (Samb. 2)'!#REF!,"AAAAAD9n9zQ=")</f>
        <v>#REF!</v>
      </c>
      <c r="BB51" t="e">
        <f>AND('5 (Samb. 2)'!#REF!,"AAAAAD9n9zU=")</f>
        <v>#REF!</v>
      </c>
      <c r="BC51" t="e">
        <f>AND('5 (Samb. 2)'!#REF!,"AAAAAD9n9zY=")</f>
        <v>#REF!</v>
      </c>
      <c r="BD51" t="e">
        <f>AND('5 (Samb. 2)'!#REF!,"AAAAAD9n9zc=")</f>
        <v>#REF!</v>
      </c>
      <c r="BE51" t="e">
        <f>AND('5 (Samb. 2)'!#REF!,"AAAAAD9n9zg=")</f>
        <v>#REF!</v>
      </c>
      <c r="BF51" t="e">
        <f>AND('5 (Samb. 2)'!#REF!,"AAAAAD9n9zk=")</f>
        <v>#REF!</v>
      </c>
      <c r="BG51" t="e">
        <f>AND('5 (Samb. 2)'!#REF!,"AAAAAD9n9zo=")</f>
        <v>#REF!</v>
      </c>
      <c r="BH51" t="e">
        <f>AND('5 (Samb. 2)'!#REF!,"AAAAAD9n9zs=")</f>
        <v>#REF!</v>
      </c>
      <c r="BI51" t="e">
        <f>AND('5 (Samb. 2)'!#REF!,"AAAAAD9n9zw=")</f>
        <v>#REF!</v>
      </c>
      <c r="BJ51" t="e">
        <f>IF('5 (Samb. 2)'!#REF!,"AAAAAD9n9z0=",0)</f>
        <v>#REF!</v>
      </c>
      <c r="BK51" t="e">
        <f>AND('5 (Samb. 2)'!#REF!,"AAAAAD9n9z4=")</f>
        <v>#REF!</v>
      </c>
      <c r="BL51" t="e">
        <f>AND('5 (Samb. 2)'!#REF!,"AAAAAD9n9z8=")</f>
        <v>#REF!</v>
      </c>
      <c r="BM51" t="e">
        <f>AND('5 (Samb. 2)'!#REF!,"AAAAAD9n90A=")</f>
        <v>#REF!</v>
      </c>
      <c r="BN51" t="e">
        <f>AND('5 (Samb. 2)'!#REF!,"AAAAAD9n90E=")</f>
        <v>#REF!</v>
      </c>
      <c r="BO51" t="e">
        <f>AND('5 (Samb. 2)'!#REF!,"AAAAAD9n90I=")</f>
        <v>#REF!</v>
      </c>
      <c r="BP51" t="e">
        <f>AND('5 (Samb. 2)'!#REF!,"AAAAAD9n90M=")</f>
        <v>#REF!</v>
      </c>
      <c r="BQ51" t="e">
        <f>AND('5 (Samb. 2)'!#REF!,"AAAAAD9n90Q=")</f>
        <v>#REF!</v>
      </c>
      <c r="BR51" t="e">
        <f>AND('5 (Samb. 2)'!#REF!,"AAAAAD9n90U=")</f>
        <v>#REF!</v>
      </c>
      <c r="BS51" t="e">
        <f>AND('5 (Samb. 2)'!#REF!,"AAAAAD9n90Y=")</f>
        <v>#REF!</v>
      </c>
      <c r="BT51" t="e">
        <f>AND('5 (Samb. 2)'!#REF!,"AAAAAD9n90c=")</f>
        <v>#REF!</v>
      </c>
      <c r="BU51" t="e">
        <f>AND('5 (Samb. 2)'!#REF!,"AAAAAD9n90g=")</f>
        <v>#REF!</v>
      </c>
      <c r="BV51" t="e">
        <f>AND('5 (Samb. 2)'!#REF!,"AAAAAD9n90k=")</f>
        <v>#REF!</v>
      </c>
      <c r="BW51" t="e">
        <f>AND('5 (Samb. 2)'!#REF!,"AAAAAD9n90o=")</f>
        <v>#REF!</v>
      </c>
      <c r="BX51" t="e">
        <f>AND('5 (Samb. 2)'!#REF!,"AAAAAD9n90s=")</f>
        <v>#REF!</v>
      </c>
      <c r="BY51" t="e">
        <f>AND('5 (Samb. 2)'!#REF!,"AAAAAD9n90w=")</f>
        <v>#REF!</v>
      </c>
      <c r="BZ51" t="e">
        <f>AND('5 (Samb. 2)'!#REF!,"AAAAAD9n900=")</f>
        <v>#REF!</v>
      </c>
      <c r="CA51" t="e">
        <f>IF('5 (Samb. 2)'!#REF!,"AAAAAD9n904=",0)</f>
        <v>#REF!</v>
      </c>
      <c r="CB51" t="e">
        <f>AND('5 (Samb. 2)'!#REF!,"AAAAAD9n908=")</f>
        <v>#REF!</v>
      </c>
      <c r="CC51" t="e">
        <f>AND('5 (Samb. 2)'!#REF!,"AAAAAD9n91A=")</f>
        <v>#REF!</v>
      </c>
      <c r="CD51" t="e">
        <f>AND('5 (Samb. 2)'!#REF!,"AAAAAD9n91E=")</f>
        <v>#REF!</v>
      </c>
      <c r="CE51" t="e">
        <f>AND('5 (Samb. 2)'!#REF!,"AAAAAD9n91I=")</f>
        <v>#REF!</v>
      </c>
      <c r="CF51" t="e">
        <f>AND('5 (Samb. 2)'!#REF!,"AAAAAD9n91M=")</f>
        <v>#REF!</v>
      </c>
      <c r="CG51" t="e">
        <f>AND('5 (Samb. 2)'!#REF!,"AAAAAD9n91Q=")</f>
        <v>#REF!</v>
      </c>
      <c r="CH51" t="e">
        <f>AND('5 (Samb. 2)'!#REF!,"AAAAAD9n91U=")</f>
        <v>#REF!</v>
      </c>
      <c r="CI51" t="e">
        <f>AND('5 (Samb. 2)'!#REF!,"AAAAAD9n91Y=")</f>
        <v>#REF!</v>
      </c>
      <c r="CJ51" t="e">
        <f>AND('5 (Samb. 2)'!#REF!,"AAAAAD9n91c=")</f>
        <v>#REF!</v>
      </c>
      <c r="CK51" t="e">
        <f>AND('5 (Samb. 2)'!#REF!,"AAAAAD9n91g=")</f>
        <v>#REF!</v>
      </c>
      <c r="CL51" t="e">
        <f>AND('5 (Samb. 2)'!#REF!,"AAAAAD9n91k=")</f>
        <v>#REF!</v>
      </c>
      <c r="CM51" t="e">
        <f>AND('5 (Samb. 2)'!#REF!,"AAAAAD9n91o=")</f>
        <v>#REF!</v>
      </c>
      <c r="CN51" t="e">
        <f>AND('5 (Samb. 2)'!#REF!,"AAAAAD9n91s=")</f>
        <v>#REF!</v>
      </c>
      <c r="CO51" t="e">
        <f>AND('5 (Samb. 2)'!#REF!,"AAAAAD9n91w=")</f>
        <v>#REF!</v>
      </c>
      <c r="CP51" t="e">
        <f>AND('5 (Samb. 2)'!#REF!,"AAAAAD9n910=")</f>
        <v>#REF!</v>
      </c>
      <c r="CQ51" t="e">
        <f>AND('5 (Samb. 2)'!#REF!,"AAAAAD9n914=")</f>
        <v>#REF!</v>
      </c>
      <c r="CR51" t="e">
        <f>IF('5 (Samb. 2)'!#REF!,"AAAAAD9n918=",0)</f>
        <v>#REF!</v>
      </c>
      <c r="CS51" t="e">
        <f>AND('5 (Samb. 2)'!#REF!,"AAAAAD9n92A=")</f>
        <v>#REF!</v>
      </c>
      <c r="CT51" t="e">
        <f>AND('5 (Samb. 2)'!#REF!,"AAAAAD9n92E=")</f>
        <v>#REF!</v>
      </c>
      <c r="CU51" t="e">
        <f>AND('5 (Samb. 2)'!#REF!,"AAAAAD9n92I=")</f>
        <v>#REF!</v>
      </c>
      <c r="CV51" t="e">
        <f>AND('5 (Samb. 2)'!#REF!,"AAAAAD9n92M=")</f>
        <v>#REF!</v>
      </c>
      <c r="CW51" t="e">
        <f>AND('5 (Samb. 2)'!#REF!,"AAAAAD9n92Q=")</f>
        <v>#REF!</v>
      </c>
      <c r="CX51" t="e">
        <f>AND('5 (Samb. 2)'!#REF!,"AAAAAD9n92U=")</f>
        <v>#REF!</v>
      </c>
      <c r="CY51" t="e">
        <f>AND('5 (Samb. 2)'!#REF!,"AAAAAD9n92Y=")</f>
        <v>#REF!</v>
      </c>
      <c r="CZ51" t="e">
        <f>AND('5 (Samb. 2)'!#REF!,"AAAAAD9n92c=")</f>
        <v>#REF!</v>
      </c>
      <c r="DA51" t="e">
        <f>AND('5 (Samb. 2)'!#REF!,"AAAAAD9n92g=")</f>
        <v>#REF!</v>
      </c>
      <c r="DB51" t="e">
        <f>AND('5 (Samb. 2)'!#REF!,"AAAAAD9n92k=")</f>
        <v>#REF!</v>
      </c>
      <c r="DC51" t="e">
        <f>AND('5 (Samb. 2)'!#REF!,"AAAAAD9n92o=")</f>
        <v>#REF!</v>
      </c>
      <c r="DD51" t="e">
        <f>AND('5 (Samb. 2)'!#REF!,"AAAAAD9n92s=")</f>
        <v>#REF!</v>
      </c>
      <c r="DE51" t="e">
        <f>AND('5 (Samb. 2)'!#REF!,"AAAAAD9n92w=")</f>
        <v>#REF!</v>
      </c>
      <c r="DF51" t="e">
        <f>AND('5 (Samb. 2)'!#REF!,"AAAAAD9n920=")</f>
        <v>#REF!</v>
      </c>
      <c r="DG51" t="e">
        <f>AND('5 (Samb. 2)'!#REF!,"AAAAAD9n924=")</f>
        <v>#REF!</v>
      </c>
      <c r="DH51" t="e">
        <f>AND('5 (Samb. 2)'!#REF!,"AAAAAD9n928=")</f>
        <v>#REF!</v>
      </c>
      <c r="DI51" t="e">
        <f>IF('5 (Samb. 2)'!#REF!,"AAAAAD9n93A=",0)</f>
        <v>#REF!</v>
      </c>
      <c r="DJ51" t="e">
        <f>AND('5 (Samb. 2)'!#REF!,"AAAAAD9n93E=")</f>
        <v>#REF!</v>
      </c>
      <c r="DK51" t="e">
        <f>AND('5 (Samb. 2)'!#REF!,"AAAAAD9n93I=")</f>
        <v>#REF!</v>
      </c>
      <c r="DL51" t="e">
        <f>AND('5 (Samb. 2)'!#REF!,"AAAAAD9n93M=")</f>
        <v>#REF!</v>
      </c>
      <c r="DM51" t="e">
        <f>AND('5 (Samb. 2)'!#REF!,"AAAAAD9n93Q=")</f>
        <v>#REF!</v>
      </c>
      <c r="DN51" t="e">
        <f>AND('5 (Samb. 2)'!#REF!,"AAAAAD9n93U=")</f>
        <v>#REF!</v>
      </c>
      <c r="DO51" t="e">
        <f>AND('5 (Samb. 2)'!#REF!,"AAAAAD9n93Y=")</f>
        <v>#REF!</v>
      </c>
      <c r="DP51" t="e">
        <f>AND('5 (Samb. 2)'!#REF!,"AAAAAD9n93c=")</f>
        <v>#REF!</v>
      </c>
      <c r="DQ51" t="e">
        <f>AND('5 (Samb. 2)'!#REF!,"AAAAAD9n93g=")</f>
        <v>#REF!</v>
      </c>
      <c r="DR51" t="e">
        <f>AND('5 (Samb. 2)'!#REF!,"AAAAAD9n93k=")</f>
        <v>#REF!</v>
      </c>
      <c r="DS51" t="e">
        <f>AND('5 (Samb. 2)'!#REF!,"AAAAAD9n93o=")</f>
        <v>#REF!</v>
      </c>
      <c r="DT51" t="e">
        <f>AND('5 (Samb. 2)'!#REF!,"AAAAAD9n93s=")</f>
        <v>#REF!</v>
      </c>
      <c r="DU51" t="e">
        <f>AND('5 (Samb. 2)'!#REF!,"AAAAAD9n93w=")</f>
        <v>#REF!</v>
      </c>
      <c r="DV51" t="e">
        <f>AND('5 (Samb. 2)'!#REF!,"AAAAAD9n930=")</f>
        <v>#REF!</v>
      </c>
      <c r="DW51" t="e">
        <f>AND('5 (Samb. 2)'!#REF!,"AAAAAD9n934=")</f>
        <v>#REF!</v>
      </c>
      <c r="DX51" t="e">
        <f>AND('5 (Samb. 2)'!#REF!,"AAAAAD9n938=")</f>
        <v>#REF!</v>
      </c>
      <c r="DY51" t="e">
        <f>AND('5 (Samb. 2)'!#REF!,"AAAAAD9n94A=")</f>
        <v>#REF!</v>
      </c>
      <c r="DZ51" t="e">
        <f>IF('5 (Samb. 2)'!#REF!,"AAAAAD9n94E=",0)</f>
        <v>#REF!</v>
      </c>
      <c r="EA51" t="e">
        <f>AND('5 (Samb. 2)'!#REF!,"AAAAAD9n94I=")</f>
        <v>#REF!</v>
      </c>
      <c r="EB51" t="e">
        <f>AND('5 (Samb. 2)'!#REF!,"AAAAAD9n94M=")</f>
        <v>#REF!</v>
      </c>
      <c r="EC51" t="e">
        <f>AND('5 (Samb. 2)'!#REF!,"AAAAAD9n94Q=")</f>
        <v>#REF!</v>
      </c>
      <c r="ED51" t="e">
        <f>AND('5 (Samb. 2)'!#REF!,"AAAAAD9n94U=")</f>
        <v>#REF!</v>
      </c>
      <c r="EE51" t="e">
        <f>AND('5 (Samb. 2)'!#REF!,"AAAAAD9n94Y=")</f>
        <v>#REF!</v>
      </c>
      <c r="EF51" t="e">
        <f>AND('5 (Samb. 2)'!#REF!,"AAAAAD9n94c=")</f>
        <v>#REF!</v>
      </c>
      <c r="EG51" t="e">
        <f>AND('5 (Samb. 2)'!#REF!,"AAAAAD9n94g=")</f>
        <v>#REF!</v>
      </c>
      <c r="EH51" t="e">
        <f>AND('5 (Samb. 2)'!#REF!,"AAAAAD9n94k=")</f>
        <v>#REF!</v>
      </c>
      <c r="EI51" t="e">
        <f>AND('5 (Samb. 2)'!#REF!,"AAAAAD9n94o=")</f>
        <v>#REF!</v>
      </c>
      <c r="EJ51" t="e">
        <f>AND('5 (Samb. 2)'!#REF!,"AAAAAD9n94s=")</f>
        <v>#REF!</v>
      </c>
      <c r="EK51" t="e">
        <f>AND('5 (Samb. 2)'!#REF!,"AAAAAD9n94w=")</f>
        <v>#REF!</v>
      </c>
      <c r="EL51" t="e">
        <f>AND('5 (Samb. 2)'!#REF!,"AAAAAD9n940=")</f>
        <v>#REF!</v>
      </c>
      <c r="EM51" t="e">
        <f>AND('5 (Samb. 2)'!#REF!,"AAAAAD9n944=")</f>
        <v>#REF!</v>
      </c>
      <c r="EN51" t="e">
        <f>AND('5 (Samb. 2)'!#REF!,"AAAAAD9n948=")</f>
        <v>#REF!</v>
      </c>
      <c r="EO51" t="e">
        <f>AND('5 (Samb. 2)'!#REF!,"AAAAAD9n95A=")</f>
        <v>#REF!</v>
      </c>
      <c r="EP51" t="e">
        <f>AND('5 (Samb. 2)'!#REF!,"AAAAAD9n95E=")</f>
        <v>#REF!</v>
      </c>
      <c r="EQ51" t="e">
        <f>IF('5 (Samb. 2)'!#REF!,"AAAAAD9n95I=",0)</f>
        <v>#REF!</v>
      </c>
      <c r="ER51" t="e">
        <f>AND('5 (Samb. 2)'!#REF!,"AAAAAD9n95M=")</f>
        <v>#REF!</v>
      </c>
      <c r="ES51" t="e">
        <f>AND('5 (Samb. 2)'!#REF!,"AAAAAD9n95Q=")</f>
        <v>#REF!</v>
      </c>
      <c r="ET51" t="e">
        <f>AND('5 (Samb. 2)'!#REF!,"AAAAAD9n95U=")</f>
        <v>#REF!</v>
      </c>
      <c r="EU51" t="e">
        <f>AND('5 (Samb. 2)'!#REF!,"AAAAAD9n95Y=")</f>
        <v>#REF!</v>
      </c>
      <c r="EV51" t="e">
        <f>AND('5 (Samb. 2)'!#REF!,"AAAAAD9n95c=")</f>
        <v>#REF!</v>
      </c>
      <c r="EW51" t="e">
        <f>AND('5 (Samb. 2)'!#REF!,"AAAAAD9n95g=")</f>
        <v>#REF!</v>
      </c>
      <c r="EX51" t="e">
        <f>AND('5 (Samb. 2)'!#REF!,"AAAAAD9n95k=")</f>
        <v>#REF!</v>
      </c>
      <c r="EY51" t="e">
        <f>AND('5 (Samb. 2)'!#REF!,"AAAAAD9n95o=")</f>
        <v>#REF!</v>
      </c>
      <c r="EZ51" t="e">
        <f>AND('5 (Samb. 2)'!#REF!,"AAAAAD9n95s=")</f>
        <v>#REF!</v>
      </c>
      <c r="FA51" t="e">
        <f>AND('5 (Samb. 2)'!#REF!,"AAAAAD9n95w=")</f>
        <v>#REF!</v>
      </c>
      <c r="FB51" t="e">
        <f>AND('5 (Samb. 2)'!#REF!,"AAAAAD9n950=")</f>
        <v>#REF!</v>
      </c>
      <c r="FC51" t="e">
        <f>AND('5 (Samb. 2)'!#REF!,"AAAAAD9n954=")</f>
        <v>#REF!</v>
      </c>
      <c r="FD51" t="e">
        <f>AND('5 (Samb. 2)'!#REF!,"AAAAAD9n958=")</f>
        <v>#REF!</v>
      </c>
      <c r="FE51" t="e">
        <f>AND('5 (Samb. 2)'!#REF!,"AAAAAD9n96A=")</f>
        <v>#REF!</v>
      </c>
      <c r="FF51" t="e">
        <f>AND('5 (Samb. 2)'!#REF!,"AAAAAD9n96E=")</f>
        <v>#REF!</v>
      </c>
      <c r="FG51" t="e">
        <f>AND('5 (Samb. 2)'!#REF!,"AAAAAD9n96I=")</f>
        <v>#REF!</v>
      </c>
      <c r="FH51" t="e">
        <f>IF('5 (Samb. 2)'!#REF!,"AAAAAD9n96M=",0)</f>
        <v>#REF!</v>
      </c>
      <c r="FI51" t="e">
        <f>AND('5 (Samb. 2)'!#REF!,"AAAAAD9n96Q=")</f>
        <v>#REF!</v>
      </c>
      <c r="FJ51" t="e">
        <f>AND('5 (Samb. 2)'!#REF!,"AAAAAD9n96U=")</f>
        <v>#REF!</v>
      </c>
      <c r="FK51" t="e">
        <f>AND('5 (Samb. 2)'!#REF!,"AAAAAD9n96Y=")</f>
        <v>#REF!</v>
      </c>
      <c r="FL51" t="e">
        <f>AND('5 (Samb. 2)'!#REF!,"AAAAAD9n96c=")</f>
        <v>#REF!</v>
      </c>
      <c r="FM51" t="e">
        <f>AND('5 (Samb. 2)'!#REF!,"AAAAAD9n96g=")</f>
        <v>#REF!</v>
      </c>
      <c r="FN51" t="e">
        <f>AND('5 (Samb. 2)'!#REF!,"AAAAAD9n96k=")</f>
        <v>#REF!</v>
      </c>
      <c r="FO51" t="e">
        <f>AND('5 (Samb. 2)'!#REF!,"AAAAAD9n96o=")</f>
        <v>#REF!</v>
      </c>
      <c r="FP51" t="e">
        <f>AND('5 (Samb. 2)'!#REF!,"AAAAAD9n96s=")</f>
        <v>#REF!</v>
      </c>
      <c r="FQ51" t="e">
        <f>AND('5 (Samb. 2)'!#REF!,"AAAAAD9n96w=")</f>
        <v>#REF!</v>
      </c>
      <c r="FR51" t="e">
        <f>AND('5 (Samb. 2)'!#REF!,"AAAAAD9n960=")</f>
        <v>#REF!</v>
      </c>
      <c r="FS51" t="e">
        <f>AND('5 (Samb. 2)'!#REF!,"AAAAAD9n964=")</f>
        <v>#REF!</v>
      </c>
      <c r="FT51" t="e">
        <f>AND('5 (Samb. 2)'!#REF!,"AAAAAD9n968=")</f>
        <v>#REF!</v>
      </c>
      <c r="FU51" t="e">
        <f>AND('5 (Samb. 2)'!#REF!,"AAAAAD9n97A=")</f>
        <v>#REF!</v>
      </c>
      <c r="FV51" t="e">
        <f>AND('5 (Samb. 2)'!#REF!,"AAAAAD9n97E=")</f>
        <v>#REF!</v>
      </c>
      <c r="FW51" t="e">
        <f>AND('5 (Samb. 2)'!#REF!,"AAAAAD9n97I=")</f>
        <v>#REF!</v>
      </c>
      <c r="FX51" t="e">
        <f>AND('5 (Samb. 2)'!#REF!,"AAAAAD9n97M=")</f>
        <v>#REF!</v>
      </c>
      <c r="FY51" t="e">
        <f>IF('5 (Samb. 2)'!#REF!,"AAAAAD9n97Q=",0)</f>
        <v>#REF!</v>
      </c>
      <c r="FZ51" t="e">
        <f>AND('5 (Samb. 2)'!#REF!,"AAAAAD9n97U=")</f>
        <v>#REF!</v>
      </c>
      <c r="GA51" t="e">
        <f>AND('5 (Samb. 2)'!#REF!,"AAAAAD9n97Y=")</f>
        <v>#REF!</v>
      </c>
      <c r="GB51" t="e">
        <f>AND('5 (Samb. 2)'!#REF!,"AAAAAD9n97c=")</f>
        <v>#REF!</v>
      </c>
      <c r="GC51" t="e">
        <f>AND('5 (Samb. 2)'!#REF!,"AAAAAD9n97g=")</f>
        <v>#REF!</v>
      </c>
      <c r="GD51" t="e">
        <f>AND('5 (Samb. 2)'!#REF!,"AAAAAD9n97k=")</f>
        <v>#REF!</v>
      </c>
      <c r="GE51" t="e">
        <f>AND('5 (Samb. 2)'!#REF!,"AAAAAD9n97o=")</f>
        <v>#REF!</v>
      </c>
      <c r="GF51" t="e">
        <f>AND('5 (Samb. 2)'!#REF!,"AAAAAD9n97s=")</f>
        <v>#REF!</v>
      </c>
      <c r="GG51" t="e">
        <f>AND('5 (Samb. 2)'!#REF!,"AAAAAD9n97w=")</f>
        <v>#REF!</v>
      </c>
      <c r="GH51" t="e">
        <f>AND('5 (Samb. 2)'!#REF!,"AAAAAD9n970=")</f>
        <v>#REF!</v>
      </c>
      <c r="GI51" t="e">
        <f>AND('5 (Samb. 2)'!#REF!,"AAAAAD9n974=")</f>
        <v>#REF!</v>
      </c>
      <c r="GJ51" t="e">
        <f>AND('5 (Samb. 2)'!#REF!,"AAAAAD9n978=")</f>
        <v>#REF!</v>
      </c>
      <c r="GK51" t="e">
        <f>AND('5 (Samb. 2)'!#REF!,"AAAAAD9n98A=")</f>
        <v>#REF!</v>
      </c>
      <c r="GL51" t="e">
        <f>AND('5 (Samb. 2)'!#REF!,"AAAAAD9n98E=")</f>
        <v>#REF!</v>
      </c>
      <c r="GM51" t="e">
        <f>AND('5 (Samb. 2)'!#REF!,"AAAAAD9n98I=")</f>
        <v>#REF!</v>
      </c>
      <c r="GN51" t="e">
        <f>AND('5 (Samb. 2)'!#REF!,"AAAAAD9n98M=")</f>
        <v>#REF!</v>
      </c>
      <c r="GO51" t="e">
        <f>AND('5 (Samb. 2)'!#REF!,"AAAAAD9n98Q=")</f>
        <v>#REF!</v>
      </c>
      <c r="GP51" t="e">
        <f>IF('5 (Samb. 2)'!#REF!,"AAAAAD9n98U=",0)</f>
        <v>#REF!</v>
      </c>
      <c r="GQ51" t="e">
        <f>AND('5 (Samb. 2)'!#REF!,"AAAAAD9n98Y=")</f>
        <v>#REF!</v>
      </c>
      <c r="GR51" t="e">
        <f>AND('5 (Samb. 2)'!#REF!,"AAAAAD9n98c=")</f>
        <v>#REF!</v>
      </c>
      <c r="GS51" t="e">
        <f>AND('5 (Samb. 2)'!#REF!,"AAAAAD9n98g=")</f>
        <v>#REF!</v>
      </c>
      <c r="GT51" t="e">
        <f>AND('5 (Samb. 2)'!#REF!,"AAAAAD9n98k=")</f>
        <v>#REF!</v>
      </c>
      <c r="GU51" t="e">
        <f>AND('5 (Samb. 2)'!#REF!,"AAAAAD9n98o=")</f>
        <v>#REF!</v>
      </c>
      <c r="GV51" t="e">
        <f>AND('5 (Samb. 2)'!#REF!,"AAAAAD9n98s=")</f>
        <v>#REF!</v>
      </c>
      <c r="GW51" t="e">
        <f>AND('5 (Samb. 2)'!#REF!,"AAAAAD9n98w=")</f>
        <v>#REF!</v>
      </c>
      <c r="GX51" t="e">
        <f>AND('5 (Samb. 2)'!#REF!,"AAAAAD9n980=")</f>
        <v>#REF!</v>
      </c>
      <c r="GY51" t="e">
        <f>AND('5 (Samb. 2)'!#REF!,"AAAAAD9n984=")</f>
        <v>#REF!</v>
      </c>
      <c r="GZ51" t="e">
        <f>AND('5 (Samb. 2)'!#REF!,"AAAAAD9n988=")</f>
        <v>#REF!</v>
      </c>
      <c r="HA51" t="e">
        <f>AND('5 (Samb. 2)'!#REF!,"AAAAAD9n99A=")</f>
        <v>#REF!</v>
      </c>
      <c r="HB51" t="e">
        <f>AND('5 (Samb. 2)'!#REF!,"AAAAAD9n99E=")</f>
        <v>#REF!</v>
      </c>
      <c r="HC51" t="e">
        <f>AND('5 (Samb. 2)'!#REF!,"AAAAAD9n99I=")</f>
        <v>#REF!</v>
      </c>
      <c r="HD51" t="e">
        <f>AND('5 (Samb. 2)'!#REF!,"AAAAAD9n99M=")</f>
        <v>#REF!</v>
      </c>
      <c r="HE51" t="e">
        <f>AND('5 (Samb. 2)'!#REF!,"AAAAAD9n99Q=")</f>
        <v>#REF!</v>
      </c>
      <c r="HF51" t="e">
        <f>AND('5 (Samb. 2)'!#REF!,"AAAAAD9n99U=")</f>
        <v>#REF!</v>
      </c>
      <c r="HG51" t="e">
        <f>IF('5 (Samb. 2)'!#REF!,"AAAAAD9n99Y=",0)</f>
        <v>#REF!</v>
      </c>
      <c r="HH51" t="e">
        <f>AND('5 (Samb. 2)'!#REF!,"AAAAAD9n99c=")</f>
        <v>#REF!</v>
      </c>
      <c r="HI51" t="e">
        <f>AND('5 (Samb. 2)'!#REF!,"AAAAAD9n99g=")</f>
        <v>#REF!</v>
      </c>
      <c r="HJ51" t="e">
        <f>AND('5 (Samb. 2)'!#REF!,"AAAAAD9n99k=")</f>
        <v>#REF!</v>
      </c>
      <c r="HK51" t="e">
        <f>AND('5 (Samb. 2)'!#REF!,"AAAAAD9n99o=")</f>
        <v>#REF!</v>
      </c>
      <c r="HL51" t="e">
        <f>AND('5 (Samb. 2)'!#REF!,"AAAAAD9n99s=")</f>
        <v>#REF!</v>
      </c>
      <c r="HM51" t="e">
        <f>AND('5 (Samb. 2)'!#REF!,"AAAAAD9n99w=")</f>
        <v>#REF!</v>
      </c>
      <c r="HN51" t="e">
        <f>AND('5 (Samb. 2)'!#REF!,"AAAAAD9n990=")</f>
        <v>#REF!</v>
      </c>
      <c r="HO51" t="e">
        <f>AND('5 (Samb. 2)'!#REF!,"AAAAAD9n994=")</f>
        <v>#REF!</v>
      </c>
      <c r="HP51" t="e">
        <f>AND('5 (Samb. 2)'!#REF!,"AAAAAD9n998=")</f>
        <v>#REF!</v>
      </c>
      <c r="HQ51" t="e">
        <f>AND('5 (Samb. 2)'!#REF!,"AAAAAD9n9+A=")</f>
        <v>#REF!</v>
      </c>
      <c r="HR51" t="e">
        <f>AND('5 (Samb. 2)'!#REF!,"AAAAAD9n9+E=")</f>
        <v>#REF!</v>
      </c>
      <c r="HS51" t="e">
        <f>AND('5 (Samb. 2)'!#REF!,"AAAAAD9n9+I=")</f>
        <v>#REF!</v>
      </c>
      <c r="HT51" t="e">
        <f>AND('5 (Samb. 2)'!#REF!,"AAAAAD9n9+M=")</f>
        <v>#REF!</v>
      </c>
      <c r="HU51" t="e">
        <f>AND('5 (Samb. 2)'!#REF!,"AAAAAD9n9+Q=")</f>
        <v>#REF!</v>
      </c>
      <c r="HV51" t="e">
        <f>AND('5 (Samb. 2)'!#REF!,"AAAAAD9n9+U=")</f>
        <v>#REF!</v>
      </c>
      <c r="HW51" t="e">
        <f>AND('5 (Samb. 2)'!#REF!,"AAAAAD9n9+Y=")</f>
        <v>#REF!</v>
      </c>
      <c r="HX51" t="e">
        <f>IF('5 (Samb. 2)'!#REF!,"AAAAAD9n9+c=",0)</f>
        <v>#REF!</v>
      </c>
      <c r="HY51" t="e">
        <f>AND('5 (Samb. 2)'!#REF!,"AAAAAD9n9+g=")</f>
        <v>#REF!</v>
      </c>
      <c r="HZ51" t="e">
        <f>AND('5 (Samb. 2)'!#REF!,"AAAAAD9n9+k=")</f>
        <v>#REF!</v>
      </c>
      <c r="IA51" t="e">
        <f>AND('5 (Samb. 2)'!#REF!,"AAAAAD9n9+o=")</f>
        <v>#REF!</v>
      </c>
      <c r="IB51" t="e">
        <f>AND('5 (Samb. 2)'!#REF!,"AAAAAD9n9+s=")</f>
        <v>#REF!</v>
      </c>
      <c r="IC51" t="e">
        <f>AND('5 (Samb. 2)'!#REF!,"AAAAAD9n9+w=")</f>
        <v>#REF!</v>
      </c>
      <c r="ID51" t="e">
        <f>AND('5 (Samb. 2)'!#REF!,"AAAAAD9n9+0=")</f>
        <v>#REF!</v>
      </c>
      <c r="IE51" t="e">
        <f>AND('5 (Samb. 2)'!#REF!,"AAAAAD9n9+4=")</f>
        <v>#REF!</v>
      </c>
      <c r="IF51" t="e">
        <f>AND('5 (Samb. 2)'!#REF!,"AAAAAD9n9+8=")</f>
        <v>#REF!</v>
      </c>
      <c r="IG51" t="e">
        <f>AND('5 (Samb. 2)'!#REF!,"AAAAAD9n9/A=")</f>
        <v>#REF!</v>
      </c>
      <c r="IH51" t="e">
        <f>AND('5 (Samb. 2)'!#REF!,"AAAAAD9n9/E=")</f>
        <v>#REF!</v>
      </c>
      <c r="II51" t="e">
        <f>AND('5 (Samb. 2)'!#REF!,"AAAAAD9n9/I=")</f>
        <v>#REF!</v>
      </c>
      <c r="IJ51" t="e">
        <f>AND('5 (Samb. 2)'!#REF!,"AAAAAD9n9/M=")</f>
        <v>#REF!</v>
      </c>
      <c r="IK51" t="e">
        <f>AND('5 (Samb. 2)'!#REF!,"AAAAAD9n9/Q=")</f>
        <v>#REF!</v>
      </c>
      <c r="IL51" t="e">
        <f>AND('5 (Samb. 2)'!#REF!,"AAAAAD9n9/U=")</f>
        <v>#REF!</v>
      </c>
      <c r="IM51" t="e">
        <f>AND('5 (Samb. 2)'!#REF!,"AAAAAD9n9/Y=")</f>
        <v>#REF!</v>
      </c>
      <c r="IN51" t="e">
        <f>AND('5 (Samb. 2)'!#REF!,"AAAAAD9n9/c=")</f>
        <v>#REF!</v>
      </c>
      <c r="IO51" t="e">
        <f>IF('5 (Samb. 2)'!#REF!,"AAAAAD9n9/g=",0)</f>
        <v>#REF!</v>
      </c>
      <c r="IP51" t="e">
        <f>AND('5 (Samb. 2)'!#REF!,"AAAAAD9n9/k=")</f>
        <v>#REF!</v>
      </c>
      <c r="IQ51" t="e">
        <f>AND('5 (Samb. 2)'!#REF!,"AAAAAD9n9/o=")</f>
        <v>#REF!</v>
      </c>
      <c r="IR51" t="e">
        <f>AND('5 (Samb. 2)'!#REF!,"AAAAAD9n9/s=")</f>
        <v>#REF!</v>
      </c>
      <c r="IS51" t="e">
        <f>AND('5 (Samb. 2)'!#REF!,"AAAAAD9n9/w=")</f>
        <v>#REF!</v>
      </c>
      <c r="IT51" t="e">
        <f>AND('5 (Samb. 2)'!#REF!,"AAAAAD9n9/0=")</f>
        <v>#REF!</v>
      </c>
      <c r="IU51" t="e">
        <f>AND('5 (Samb. 2)'!#REF!,"AAAAAD9n9/4=")</f>
        <v>#REF!</v>
      </c>
      <c r="IV51" t="e">
        <f>AND('5 (Samb. 2)'!#REF!,"AAAAAD9n9/8=")</f>
        <v>#REF!</v>
      </c>
    </row>
    <row r="52" spans="1:256" x14ac:dyDescent="0.25">
      <c r="A52" t="e">
        <f>AND('5 (Samb. 2)'!#REF!,"AAAAAHfdfwA=")</f>
        <v>#REF!</v>
      </c>
      <c r="B52" t="e">
        <f>AND('5 (Samb. 2)'!#REF!,"AAAAAHfdfwE=")</f>
        <v>#REF!</v>
      </c>
      <c r="C52" t="e">
        <f>AND('5 (Samb. 2)'!#REF!,"AAAAAHfdfwI=")</f>
        <v>#REF!</v>
      </c>
      <c r="D52" t="e">
        <f>AND('5 (Samb. 2)'!#REF!,"AAAAAHfdfwM=")</f>
        <v>#REF!</v>
      </c>
      <c r="E52" t="e">
        <f>AND('5 (Samb. 2)'!#REF!,"AAAAAHfdfwQ=")</f>
        <v>#REF!</v>
      </c>
      <c r="F52" t="e">
        <f>AND('5 (Samb. 2)'!#REF!,"AAAAAHfdfwU=")</f>
        <v>#REF!</v>
      </c>
      <c r="G52" t="e">
        <f>AND('5 (Samb. 2)'!#REF!,"AAAAAHfdfwY=")</f>
        <v>#REF!</v>
      </c>
      <c r="H52" t="e">
        <f>AND('5 (Samb. 2)'!#REF!,"AAAAAHfdfwc=")</f>
        <v>#REF!</v>
      </c>
      <c r="I52" t="e">
        <f>AND('5 (Samb. 2)'!#REF!,"AAAAAHfdfwg=")</f>
        <v>#REF!</v>
      </c>
      <c r="J52" t="e">
        <f>IF('5 (Samb. 2)'!#REF!,"AAAAAHfdfwk=",0)</f>
        <v>#REF!</v>
      </c>
      <c r="K52" t="e">
        <f>AND('5 (Samb. 2)'!#REF!,"AAAAAHfdfwo=")</f>
        <v>#REF!</v>
      </c>
      <c r="L52" t="e">
        <f>AND('5 (Samb. 2)'!#REF!,"AAAAAHfdfws=")</f>
        <v>#REF!</v>
      </c>
      <c r="M52" t="e">
        <f>AND('5 (Samb. 2)'!#REF!,"AAAAAHfdfww=")</f>
        <v>#REF!</v>
      </c>
      <c r="N52" t="e">
        <f>AND('5 (Samb. 2)'!#REF!,"AAAAAHfdfw0=")</f>
        <v>#REF!</v>
      </c>
      <c r="O52" t="e">
        <f>AND('5 (Samb. 2)'!#REF!,"AAAAAHfdfw4=")</f>
        <v>#REF!</v>
      </c>
      <c r="P52" t="e">
        <f>AND('5 (Samb. 2)'!#REF!,"AAAAAHfdfw8=")</f>
        <v>#REF!</v>
      </c>
      <c r="Q52" t="e">
        <f>AND('5 (Samb. 2)'!#REF!,"AAAAAHfdfxA=")</f>
        <v>#REF!</v>
      </c>
      <c r="R52" t="e">
        <f>AND('5 (Samb. 2)'!#REF!,"AAAAAHfdfxE=")</f>
        <v>#REF!</v>
      </c>
      <c r="S52" t="e">
        <f>AND('5 (Samb. 2)'!#REF!,"AAAAAHfdfxI=")</f>
        <v>#REF!</v>
      </c>
      <c r="T52" t="e">
        <f>AND('5 (Samb. 2)'!#REF!,"AAAAAHfdfxM=")</f>
        <v>#REF!</v>
      </c>
      <c r="U52" t="e">
        <f>AND('5 (Samb. 2)'!#REF!,"AAAAAHfdfxQ=")</f>
        <v>#REF!</v>
      </c>
      <c r="V52" t="e">
        <f>AND('5 (Samb. 2)'!#REF!,"AAAAAHfdfxU=")</f>
        <v>#REF!</v>
      </c>
      <c r="W52" t="e">
        <f>AND('5 (Samb. 2)'!#REF!,"AAAAAHfdfxY=")</f>
        <v>#REF!</v>
      </c>
      <c r="X52" t="e">
        <f>AND('5 (Samb. 2)'!#REF!,"AAAAAHfdfxc=")</f>
        <v>#REF!</v>
      </c>
      <c r="Y52" t="e">
        <f>AND('5 (Samb. 2)'!#REF!,"AAAAAHfdfxg=")</f>
        <v>#REF!</v>
      </c>
      <c r="Z52" t="e">
        <f>AND('5 (Samb. 2)'!#REF!,"AAAAAHfdfxk=")</f>
        <v>#REF!</v>
      </c>
      <c r="AA52" t="e">
        <f>IF('5 (Samb. 2)'!#REF!,"AAAAAHfdfxo=",0)</f>
        <v>#REF!</v>
      </c>
      <c r="AB52" t="e">
        <f>AND('5 (Samb. 2)'!#REF!,"AAAAAHfdfxs=")</f>
        <v>#REF!</v>
      </c>
      <c r="AC52" t="e">
        <f>AND('5 (Samb. 2)'!#REF!,"AAAAAHfdfxw=")</f>
        <v>#REF!</v>
      </c>
      <c r="AD52" t="e">
        <f>AND('5 (Samb. 2)'!#REF!,"AAAAAHfdfx0=")</f>
        <v>#REF!</v>
      </c>
      <c r="AE52" t="e">
        <f>AND('5 (Samb. 2)'!#REF!,"AAAAAHfdfx4=")</f>
        <v>#REF!</v>
      </c>
      <c r="AF52" t="e">
        <f>AND('5 (Samb. 2)'!#REF!,"AAAAAHfdfx8=")</f>
        <v>#REF!</v>
      </c>
      <c r="AG52" t="e">
        <f>AND('5 (Samb. 2)'!#REF!,"AAAAAHfdfyA=")</f>
        <v>#REF!</v>
      </c>
      <c r="AH52" t="e">
        <f>AND('5 (Samb. 2)'!#REF!,"AAAAAHfdfyE=")</f>
        <v>#REF!</v>
      </c>
      <c r="AI52" t="e">
        <f>AND('5 (Samb. 2)'!#REF!,"AAAAAHfdfyI=")</f>
        <v>#REF!</v>
      </c>
      <c r="AJ52" t="e">
        <f>AND('5 (Samb. 2)'!#REF!,"AAAAAHfdfyM=")</f>
        <v>#REF!</v>
      </c>
      <c r="AK52" t="e">
        <f>AND('5 (Samb. 2)'!#REF!,"AAAAAHfdfyQ=")</f>
        <v>#REF!</v>
      </c>
      <c r="AL52" t="e">
        <f>AND('5 (Samb. 2)'!#REF!,"AAAAAHfdfyU=")</f>
        <v>#REF!</v>
      </c>
      <c r="AM52" t="e">
        <f>AND('5 (Samb. 2)'!#REF!,"AAAAAHfdfyY=")</f>
        <v>#REF!</v>
      </c>
      <c r="AN52" t="e">
        <f>AND('5 (Samb. 2)'!#REF!,"AAAAAHfdfyc=")</f>
        <v>#REF!</v>
      </c>
      <c r="AO52" t="e">
        <f>AND('5 (Samb. 2)'!#REF!,"AAAAAHfdfyg=")</f>
        <v>#REF!</v>
      </c>
      <c r="AP52" t="e">
        <f>AND('5 (Samb. 2)'!#REF!,"AAAAAHfdfyk=")</f>
        <v>#REF!</v>
      </c>
      <c r="AQ52" t="e">
        <f>AND('5 (Samb. 2)'!#REF!,"AAAAAHfdfyo=")</f>
        <v>#REF!</v>
      </c>
      <c r="AR52" t="e">
        <f>IF('5 (Samb. 2)'!#REF!,"AAAAAHfdfys=",0)</f>
        <v>#REF!</v>
      </c>
      <c r="AS52" t="e">
        <f>AND('5 (Samb. 2)'!#REF!,"AAAAAHfdfyw=")</f>
        <v>#REF!</v>
      </c>
      <c r="AT52" t="e">
        <f>AND('5 (Samb. 2)'!#REF!,"AAAAAHfdfy0=")</f>
        <v>#REF!</v>
      </c>
      <c r="AU52" t="e">
        <f>AND('5 (Samb. 2)'!#REF!,"AAAAAHfdfy4=")</f>
        <v>#REF!</v>
      </c>
      <c r="AV52" t="e">
        <f>AND('5 (Samb. 2)'!#REF!,"AAAAAHfdfy8=")</f>
        <v>#REF!</v>
      </c>
      <c r="AW52" t="e">
        <f>AND('5 (Samb. 2)'!#REF!,"AAAAAHfdfzA=")</f>
        <v>#REF!</v>
      </c>
      <c r="AX52" t="e">
        <f>AND('5 (Samb. 2)'!#REF!,"AAAAAHfdfzE=")</f>
        <v>#REF!</v>
      </c>
      <c r="AY52" t="e">
        <f>AND('5 (Samb. 2)'!#REF!,"AAAAAHfdfzI=")</f>
        <v>#REF!</v>
      </c>
      <c r="AZ52" t="e">
        <f>AND('5 (Samb. 2)'!#REF!,"AAAAAHfdfzM=")</f>
        <v>#REF!</v>
      </c>
      <c r="BA52" t="e">
        <f>AND('5 (Samb. 2)'!#REF!,"AAAAAHfdfzQ=")</f>
        <v>#REF!</v>
      </c>
      <c r="BB52" t="e">
        <f>AND('5 (Samb. 2)'!#REF!,"AAAAAHfdfzU=")</f>
        <v>#REF!</v>
      </c>
      <c r="BC52" t="e">
        <f>AND('5 (Samb. 2)'!#REF!,"AAAAAHfdfzY=")</f>
        <v>#REF!</v>
      </c>
      <c r="BD52" t="e">
        <f>AND('5 (Samb. 2)'!#REF!,"AAAAAHfdfzc=")</f>
        <v>#REF!</v>
      </c>
      <c r="BE52" t="e">
        <f>AND('5 (Samb. 2)'!#REF!,"AAAAAHfdfzg=")</f>
        <v>#REF!</v>
      </c>
      <c r="BF52" t="e">
        <f>AND('5 (Samb. 2)'!#REF!,"AAAAAHfdfzk=")</f>
        <v>#REF!</v>
      </c>
      <c r="BG52" t="e">
        <f>AND('5 (Samb. 2)'!#REF!,"AAAAAHfdfzo=")</f>
        <v>#REF!</v>
      </c>
      <c r="BH52" t="e">
        <f>AND('5 (Samb. 2)'!#REF!,"AAAAAHfdfzs=")</f>
        <v>#REF!</v>
      </c>
      <c r="BI52" t="e">
        <f>IF('5 (Samb. 2)'!#REF!,"AAAAAHfdfzw=",0)</f>
        <v>#REF!</v>
      </c>
      <c r="BJ52" t="e">
        <f>AND('5 (Samb. 2)'!#REF!,"AAAAAHfdfz0=")</f>
        <v>#REF!</v>
      </c>
      <c r="BK52" t="e">
        <f>AND('5 (Samb. 2)'!#REF!,"AAAAAHfdfz4=")</f>
        <v>#REF!</v>
      </c>
      <c r="BL52" t="e">
        <f>AND('5 (Samb. 2)'!#REF!,"AAAAAHfdfz8=")</f>
        <v>#REF!</v>
      </c>
      <c r="BM52" t="e">
        <f>AND('5 (Samb. 2)'!#REF!,"AAAAAHfdf0A=")</f>
        <v>#REF!</v>
      </c>
      <c r="BN52" t="e">
        <f>AND('5 (Samb. 2)'!#REF!,"AAAAAHfdf0E=")</f>
        <v>#REF!</v>
      </c>
      <c r="BO52" t="e">
        <f>AND('5 (Samb. 2)'!#REF!,"AAAAAHfdf0I=")</f>
        <v>#REF!</v>
      </c>
      <c r="BP52" t="e">
        <f>AND('5 (Samb. 2)'!#REF!,"AAAAAHfdf0M=")</f>
        <v>#REF!</v>
      </c>
      <c r="BQ52" t="e">
        <f>AND('5 (Samb. 2)'!#REF!,"AAAAAHfdf0Q=")</f>
        <v>#REF!</v>
      </c>
      <c r="BR52" t="e">
        <f>AND('5 (Samb. 2)'!#REF!,"AAAAAHfdf0U=")</f>
        <v>#REF!</v>
      </c>
      <c r="BS52" t="e">
        <f>AND('5 (Samb. 2)'!#REF!,"AAAAAHfdf0Y=")</f>
        <v>#REF!</v>
      </c>
      <c r="BT52" t="e">
        <f>AND('5 (Samb. 2)'!#REF!,"AAAAAHfdf0c=")</f>
        <v>#REF!</v>
      </c>
      <c r="BU52" t="e">
        <f>AND('5 (Samb. 2)'!#REF!,"AAAAAHfdf0g=")</f>
        <v>#REF!</v>
      </c>
      <c r="BV52" t="e">
        <f>AND('5 (Samb. 2)'!#REF!,"AAAAAHfdf0k=")</f>
        <v>#REF!</v>
      </c>
      <c r="BW52" t="e">
        <f>AND('5 (Samb. 2)'!#REF!,"AAAAAHfdf0o=")</f>
        <v>#REF!</v>
      </c>
      <c r="BX52" t="e">
        <f>AND('5 (Samb. 2)'!#REF!,"AAAAAHfdf0s=")</f>
        <v>#REF!</v>
      </c>
      <c r="BY52" t="e">
        <f>AND('5 (Samb. 2)'!#REF!,"AAAAAHfdf0w=")</f>
        <v>#REF!</v>
      </c>
      <c r="BZ52" t="e">
        <f>IF('5 (Samb. 2)'!#REF!,"AAAAAHfdf00=",0)</f>
        <v>#REF!</v>
      </c>
      <c r="CA52" t="e">
        <f>AND('5 (Samb. 2)'!#REF!,"AAAAAHfdf04=")</f>
        <v>#REF!</v>
      </c>
      <c r="CB52" t="e">
        <f>AND('5 (Samb. 2)'!#REF!,"AAAAAHfdf08=")</f>
        <v>#REF!</v>
      </c>
      <c r="CC52" t="e">
        <f>AND('5 (Samb. 2)'!#REF!,"AAAAAHfdf1A=")</f>
        <v>#REF!</v>
      </c>
      <c r="CD52" t="e">
        <f>AND('5 (Samb. 2)'!#REF!,"AAAAAHfdf1E=")</f>
        <v>#REF!</v>
      </c>
      <c r="CE52" t="e">
        <f>AND('5 (Samb. 2)'!#REF!,"AAAAAHfdf1I=")</f>
        <v>#REF!</v>
      </c>
      <c r="CF52" t="e">
        <f>AND('5 (Samb. 2)'!#REF!,"AAAAAHfdf1M=")</f>
        <v>#REF!</v>
      </c>
      <c r="CG52" t="e">
        <f>AND('5 (Samb. 2)'!#REF!,"AAAAAHfdf1Q=")</f>
        <v>#REF!</v>
      </c>
      <c r="CH52" t="e">
        <f>AND('5 (Samb. 2)'!#REF!,"AAAAAHfdf1U=")</f>
        <v>#REF!</v>
      </c>
      <c r="CI52" t="e">
        <f>AND('5 (Samb. 2)'!#REF!,"AAAAAHfdf1Y=")</f>
        <v>#REF!</v>
      </c>
      <c r="CJ52" t="e">
        <f>AND('5 (Samb. 2)'!#REF!,"AAAAAHfdf1c=")</f>
        <v>#REF!</v>
      </c>
      <c r="CK52" t="e">
        <f>AND('5 (Samb. 2)'!#REF!,"AAAAAHfdf1g=")</f>
        <v>#REF!</v>
      </c>
      <c r="CL52" t="e">
        <f>AND('5 (Samb. 2)'!#REF!,"AAAAAHfdf1k=")</f>
        <v>#REF!</v>
      </c>
      <c r="CM52" t="e">
        <f>AND('5 (Samb. 2)'!#REF!,"AAAAAHfdf1o=")</f>
        <v>#REF!</v>
      </c>
      <c r="CN52" t="e">
        <f>AND('5 (Samb. 2)'!#REF!,"AAAAAHfdf1s=")</f>
        <v>#REF!</v>
      </c>
      <c r="CO52" t="e">
        <f>AND('5 (Samb. 2)'!#REF!,"AAAAAHfdf1w=")</f>
        <v>#REF!</v>
      </c>
      <c r="CP52" t="e">
        <f>AND('5 (Samb. 2)'!#REF!,"AAAAAHfdf10=")</f>
        <v>#REF!</v>
      </c>
      <c r="CQ52" t="e">
        <f>IF('5 (Samb. 2)'!#REF!,"AAAAAHfdf14=",0)</f>
        <v>#REF!</v>
      </c>
      <c r="CR52" t="e">
        <f>AND('5 (Samb. 2)'!#REF!,"AAAAAHfdf18=")</f>
        <v>#REF!</v>
      </c>
      <c r="CS52" t="e">
        <f>AND('5 (Samb. 2)'!#REF!,"AAAAAHfdf2A=")</f>
        <v>#REF!</v>
      </c>
      <c r="CT52" t="e">
        <f>AND('5 (Samb. 2)'!#REF!,"AAAAAHfdf2E=")</f>
        <v>#REF!</v>
      </c>
      <c r="CU52" t="e">
        <f>AND('5 (Samb. 2)'!#REF!,"AAAAAHfdf2I=")</f>
        <v>#REF!</v>
      </c>
      <c r="CV52" t="e">
        <f>AND('5 (Samb. 2)'!#REF!,"AAAAAHfdf2M=")</f>
        <v>#REF!</v>
      </c>
      <c r="CW52" t="e">
        <f>AND('5 (Samb. 2)'!#REF!,"AAAAAHfdf2Q=")</f>
        <v>#REF!</v>
      </c>
      <c r="CX52" t="e">
        <f>AND('5 (Samb. 2)'!#REF!,"AAAAAHfdf2U=")</f>
        <v>#REF!</v>
      </c>
      <c r="CY52" t="e">
        <f>AND('5 (Samb. 2)'!#REF!,"AAAAAHfdf2Y=")</f>
        <v>#REF!</v>
      </c>
      <c r="CZ52" t="e">
        <f>AND('5 (Samb. 2)'!#REF!,"AAAAAHfdf2c=")</f>
        <v>#REF!</v>
      </c>
      <c r="DA52" t="e">
        <f>AND('5 (Samb. 2)'!#REF!,"AAAAAHfdf2g=")</f>
        <v>#REF!</v>
      </c>
      <c r="DB52" t="e">
        <f>AND('5 (Samb. 2)'!#REF!,"AAAAAHfdf2k=")</f>
        <v>#REF!</v>
      </c>
      <c r="DC52" t="e">
        <f>AND('5 (Samb. 2)'!#REF!,"AAAAAHfdf2o=")</f>
        <v>#REF!</v>
      </c>
      <c r="DD52" t="e">
        <f>AND('5 (Samb. 2)'!#REF!,"AAAAAHfdf2s=")</f>
        <v>#REF!</v>
      </c>
      <c r="DE52" t="e">
        <f>AND('5 (Samb. 2)'!#REF!,"AAAAAHfdf2w=")</f>
        <v>#REF!</v>
      </c>
      <c r="DF52" t="e">
        <f>AND('5 (Samb. 2)'!#REF!,"AAAAAHfdf20=")</f>
        <v>#REF!</v>
      </c>
      <c r="DG52" t="e">
        <f>AND('5 (Samb. 2)'!#REF!,"AAAAAHfdf24=")</f>
        <v>#REF!</v>
      </c>
      <c r="DH52" t="e">
        <f>IF('5 (Samb. 2)'!#REF!,"AAAAAHfdf28=",0)</f>
        <v>#REF!</v>
      </c>
      <c r="DI52" t="e">
        <f>AND('5 (Samb. 2)'!#REF!,"AAAAAHfdf3A=")</f>
        <v>#REF!</v>
      </c>
      <c r="DJ52" t="e">
        <f>AND('5 (Samb. 2)'!#REF!,"AAAAAHfdf3E=")</f>
        <v>#REF!</v>
      </c>
      <c r="DK52" t="e">
        <f>AND('5 (Samb. 2)'!#REF!,"AAAAAHfdf3I=")</f>
        <v>#REF!</v>
      </c>
      <c r="DL52" t="e">
        <f>AND('5 (Samb. 2)'!#REF!,"AAAAAHfdf3M=")</f>
        <v>#REF!</v>
      </c>
      <c r="DM52" t="e">
        <f>AND('5 (Samb. 2)'!#REF!,"AAAAAHfdf3Q=")</f>
        <v>#REF!</v>
      </c>
      <c r="DN52" t="e">
        <f>AND('5 (Samb. 2)'!#REF!,"AAAAAHfdf3U=")</f>
        <v>#REF!</v>
      </c>
      <c r="DO52" t="e">
        <f>AND('5 (Samb. 2)'!#REF!,"AAAAAHfdf3Y=")</f>
        <v>#REF!</v>
      </c>
      <c r="DP52" t="e">
        <f>AND('5 (Samb. 2)'!#REF!,"AAAAAHfdf3c=")</f>
        <v>#REF!</v>
      </c>
      <c r="DQ52" t="e">
        <f>AND('5 (Samb. 2)'!#REF!,"AAAAAHfdf3g=")</f>
        <v>#REF!</v>
      </c>
      <c r="DR52" t="e">
        <f>AND('5 (Samb. 2)'!#REF!,"AAAAAHfdf3k=")</f>
        <v>#REF!</v>
      </c>
      <c r="DS52" t="e">
        <f>AND('5 (Samb. 2)'!#REF!,"AAAAAHfdf3o=")</f>
        <v>#REF!</v>
      </c>
      <c r="DT52" t="e">
        <f>AND('5 (Samb. 2)'!#REF!,"AAAAAHfdf3s=")</f>
        <v>#REF!</v>
      </c>
      <c r="DU52" t="e">
        <f>AND('5 (Samb. 2)'!#REF!,"AAAAAHfdf3w=")</f>
        <v>#REF!</v>
      </c>
      <c r="DV52" t="e">
        <f>AND('5 (Samb. 2)'!#REF!,"AAAAAHfdf30=")</f>
        <v>#REF!</v>
      </c>
      <c r="DW52" t="e">
        <f>AND('5 (Samb. 2)'!#REF!,"AAAAAHfdf34=")</f>
        <v>#REF!</v>
      </c>
      <c r="DX52" t="e">
        <f>AND('5 (Samb. 2)'!#REF!,"AAAAAHfdf38=")</f>
        <v>#REF!</v>
      </c>
      <c r="DY52" t="e">
        <f>IF('5 (Samb. 2)'!#REF!,"AAAAAHfdf4A=",0)</f>
        <v>#REF!</v>
      </c>
      <c r="DZ52" t="e">
        <f>AND('5 (Samb. 2)'!#REF!,"AAAAAHfdf4E=")</f>
        <v>#REF!</v>
      </c>
      <c r="EA52" t="e">
        <f>AND('5 (Samb. 2)'!#REF!,"AAAAAHfdf4I=")</f>
        <v>#REF!</v>
      </c>
      <c r="EB52" t="e">
        <f>AND('5 (Samb. 2)'!#REF!,"AAAAAHfdf4M=")</f>
        <v>#REF!</v>
      </c>
      <c r="EC52" t="e">
        <f>AND('5 (Samb. 2)'!#REF!,"AAAAAHfdf4Q=")</f>
        <v>#REF!</v>
      </c>
      <c r="ED52" t="e">
        <f>AND('5 (Samb. 2)'!#REF!,"AAAAAHfdf4U=")</f>
        <v>#REF!</v>
      </c>
      <c r="EE52" t="e">
        <f>AND('5 (Samb. 2)'!#REF!,"AAAAAHfdf4Y=")</f>
        <v>#REF!</v>
      </c>
      <c r="EF52" t="e">
        <f>AND('5 (Samb. 2)'!#REF!,"AAAAAHfdf4c=")</f>
        <v>#REF!</v>
      </c>
      <c r="EG52" t="e">
        <f>AND('5 (Samb. 2)'!#REF!,"AAAAAHfdf4g=")</f>
        <v>#REF!</v>
      </c>
      <c r="EH52" t="e">
        <f>AND('5 (Samb. 2)'!#REF!,"AAAAAHfdf4k=")</f>
        <v>#REF!</v>
      </c>
      <c r="EI52" t="e">
        <f>AND('5 (Samb. 2)'!#REF!,"AAAAAHfdf4o=")</f>
        <v>#REF!</v>
      </c>
      <c r="EJ52" t="e">
        <f>AND('5 (Samb. 2)'!#REF!,"AAAAAHfdf4s=")</f>
        <v>#REF!</v>
      </c>
      <c r="EK52" t="e">
        <f>AND('5 (Samb. 2)'!#REF!,"AAAAAHfdf4w=")</f>
        <v>#REF!</v>
      </c>
      <c r="EL52" t="e">
        <f>AND('5 (Samb. 2)'!#REF!,"AAAAAHfdf40=")</f>
        <v>#REF!</v>
      </c>
      <c r="EM52" t="e">
        <f>AND('5 (Samb. 2)'!#REF!,"AAAAAHfdf44=")</f>
        <v>#REF!</v>
      </c>
      <c r="EN52" t="e">
        <f>AND('5 (Samb. 2)'!#REF!,"AAAAAHfdf48=")</f>
        <v>#REF!</v>
      </c>
      <c r="EO52" t="e">
        <f>AND('5 (Samb. 2)'!#REF!,"AAAAAHfdf5A=")</f>
        <v>#REF!</v>
      </c>
      <c r="EP52" t="e">
        <f>IF('5 (Samb. 2)'!#REF!,"AAAAAHfdf5E=",0)</f>
        <v>#REF!</v>
      </c>
      <c r="EQ52" t="e">
        <f>AND('5 (Samb. 2)'!#REF!,"AAAAAHfdf5I=")</f>
        <v>#REF!</v>
      </c>
      <c r="ER52" t="e">
        <f>AND('5 (Samb. 2)'!#REF!,"AAAAAHfdf5M=")</f>
        <v>#REF!</v>
      </c>
      <c r="ES52" t="e">
        <f>AND('5 (Samb. 2)'!#REF!,"AAAAAHfdf5Q=")</f>
        <v>#REF!</v>
      </c>
      <c r="ET52" t="e">
        <f>AND('5 (Samb. 2)'!#REF!,"AAAAAHfdf5U=")</f>
        <v>#REF!</v>
      </c>
      <c r="EU52" t="e">
        <f>AND('5 (Samb. 2)'!#REF!,"AAAAAHfdf5Y=")</f>
        <v>#REF!</v>
      </c>
      <c r="EV52" t="e">
        <f>AND('5 (Samb. 2)'!#REF!,"AAAAAHfdf5c=")</f>
        <v>#REF!</v>
      </c>
      <c r="EW52" t="e">
        <f>AND('5 (Samb. 2)'!#REF!,"AAAAAHfdf5g=")</f>
        <v>#REF!</v>
      </c>
      <c r="EX52" t="e">
        <f>AND('5 (Samb. 2)'!#REF!,"AAAAAHfdf5k=")</f>
        <v>#REF!</v>
      </c>
      <c r="EY52" t="e">
        <f>AND('5 (Samb. 2)'!#REF!,"AAAAAHfdf5o=")</f>
        <v>#REF!</v>
      </c>
      <c r="EZ52" t="e">
        <f>AND('5 (Samb. 2)'!#REF!,"AAAAAHfdf5s=")</f>
        <v>#REF!</v>
      </c>
      <c r="FA52" t="e">
        <f>AND('5 (Samb. 2)'!#REF!,"AAAAAHfdf5w=")</f>
        <v>#REF!</v>
      </c>
      <c r="FB52" t="e">
        <f>AND('5 (Samb. 2)'!#REF!,"AAAAAHfdf50=")</f>
        <v>#REF!</v>
      </c>
      <c r="FC52" t="e">
        <f>AND('5 (Samb. 2)'!#REF!,"AAAAAHfdf54=")</f>
        <v>#REF!</v>
      </c>
      <c r="FD52" t="e">
        <f>AND('5 (Samb. 2)'!#REF!,"AAAAAHfdf58=")</f>
        <v>#REF!</v>
      </c>
      <c r="FE52" t="e">
        <f>AND('5 (Samb. 2)'!#REF!,"AAAAAHfdf6A=")</f>
        <v>#REF!</v>
      </c>
      <c r="FF52" t="e">
        <f>AND('5 (Samb. 2)'!#REF!,"AAAAAHfdf6E=")</f>
        <v>#REF!</v>
      </c>
      <c r="FG52" t="e">
        <f>IF('5 (Samb. 2)'!#REF!,"AAAAAHfdf6I=",0)</f>
        <v>#REF!</v>
      </c>
      <c r="FH52" t="e">
        <f>AND('5 (Samb. 2)'!#REF!,"AAAAAHfdf6M=")</f>
        <v>#REF!</v>
      </c>
      <c r="FI52" t="e">
        <f>AND('5 (Samb. 2)'!#REF!,"AAAAAHfdf6Q=")</f>
        <v>#REF!</v>
      </c>
      <c r="FJ52" t="e">
        <f>AND('5 (Samb. 2)'!#REF!,"AAAAAHfdf6U=")</f>
        <v>#REF!</v>
      </c>
      <c r="FK52" t="e">
        <f>AND('5 (Samb. 2)'!#REF!,"AAAAAHfdf6Y=")</f>
        <v>#REF!</v>
      </c>
      <c r="FL52" t="e">
        <f>AND('5 (Samb. 2)'!#REF!,"AAAAAHfdf6c=")</f>
        <v>#REF!</v>
      </c>
      <c r="FM52" t="e">
        <f>AND('5 (Samb. 2)'!#REF!,"AAAAAHfdf6g=")</f>
        <v>#REF!</v>
      </c>
      <c r="FN52" t="e">
        <f>AND('5 (Samb. 2)'!#REF!,"AAAAAHfdf6k=")</f>
        <v>#REF!</v>
      </c>
      <c r="FO52" t="e">
        <f>AND('5 (Samb. 2)'!#REF!,"AAAAAHfdf6o=")</f>
        <v>#REF!</v>
      </c>
      <c r="FP52" t="e">
        <f>AND('5 (Samb. 2)'!#REF!,"AAAAAHfdf6s=")</f>
        <v>#REF!</v>
      </c>
      <c r="FQ52" t="e">
        <f>AND('5 (Samb. 2)'!#REF!,"AAAAAHfdf6w=")</f>
        <v>#REF!</v>
      </c>
      <c r="FR52" t="e">
        <f>AND('5 (Samb. 2)'!#REF!,"AAAAAHfdf60=")</f>
        <v>#REF!</v>
      </c>
      <c r="FS52" t="e">
        <f>AND('5 (Samb. 2)'!#REF!,"AAAAAHfdf64=")</f>
        <v>#REF!</v>
      </c>
      <c r="FT52" t="e">
        <f>AND('5 (Samb. 2)'!#REF!,"AAAAAHfdf68=")</f>
        <v>#REF!</v>
      </c>
      <c r="FU52" t="e">
        <f>AND('5 (Samb. 2)'!#REF!,"AAAAAHfdf7A=")</f>
        <v>#REF!</v>
      </c>
      <c r="FV52" t="e">
        <f>AND('5 (Samb. 2)'!#REF!,"AAAAAHfdf7E=")</f>
        <v>#REF!</v>
      </c>
      <c r="FW52" t="e">
        <f>AND('5 (Samb. 2)'!#REF!,"AAAAAHfdf7I=")</f>
        <v>#REF!</v>
      </c>
      <c r="FX52" t="e">
        <f>IF('5 (Samb. 2)'!#REF!,"AAAAAHfdf7M=",0)</f>
        <v>#REF!</v>
      </c>
      <c r="FY52" t="e">
        <f>AND('5 (Samb. 2)'!#REF!,"AAAAAHfdf7Q=")</f>
        <v>#REF!</v>
      </c>
      <c r="FZ52" t="e">
        <f>AND('5 (Samb. 2)'!#REF!,"AAAAAHfdf7U=")</f>
        <v>#REF!</v>
      </c>
      <c r="GA52" t="e">
        <f>AND('5 (Samb. 2)'!#REF!,"AAAAAHfdf7Y=")</f>
        <v>#REF!</v>
      </c>
      <c r="GB52" t="e">
        <f>AND('5 (Samb. 2)'!#REF!,"AAAAAHfdf7c=")</f>
        <v>#REF!</v>
      </c>
      <c r="GC52" t="e">
        <f>AND('5 (Samb. 2)'!#REF!,"AAAAAHfdf7g=")</f>
        <v>#REF!</v>
      </c>
      <c r="GD52" t="e">
        <f>AND('5 (Samb. 2)'!#REF!,"AAAAAHfdf7k=")</f>
        <v>#REF!</v>
      </c>
      <c r="GE52" t="e">
        <f>AND('5 (Samb. 2)'!#REF!,"AAAAAHfdf7o=")</f>
        <v>#REF!</v>
      </c>
      <c r="GF52" t="e">
        <f>AND('5 (Samb. 2)'!#REF!,"AAAAAHfdf7s=")</f>
        <v>#REF!</v>
      </c>
      <c r="GG52" t="e">
        <f>AND('5 (Samb. 2)'!#REF!,"AAAAAHfdf7w=")</f>
        <v>#REF!</v>
      </c>
      <c r="GH52" t="e">
        <f>AND('5 (Samb. 2)'!#REF!,"AAAAAHfdf70=")</f>
        <v>#REF!</v>
      </c>
      <c r="GI52" t="e">
        <f>AND('5 (Samb. 2)'!#REF!,"AAAAAHfdf74=")</f>
        <v>#REF!</v>
      </c>
      <c r="GJ52" t="e">
        <f>AND('5 (Samb. 2)'!#REF!,"AAAAAHfdf78=")</f>
        <v>#REF!</v>
      </c>
      <c r="GK52" t="e">
        <f>AND('5 (Samb. 2)'!#REF!,"AAAAAHfdf8A=")</f>
        <v>#REF!</v>
      </c>
      <c r="GL52" t="e">
        <f>AND('5 (Samb. 2)'!#REF!,"AAAAAHfdf8E=")</f>
        <v>#REF!</v>
      </c>
      <c r="GM52" t="e">
        <f>AND('5 (Samb. 2)'!#REF!,"AAAAAHfdf8I=")</f>
        <v>#REF!</v>
      </c>
      <c r="GN52" t="e">
        <f>AND('5 (Samb. 2)'!#REF!,"AAAAAHfdf8M=")</f>
        <v>#REF!</v>
      </c>
      <c r="GO52" t="e">
        <f>IF('5 (Samb. 2)'!#REF!,"AAAAAHfdf8Q=",0)</f>
        <v>#REF!</v>
      </c>
      <c r="GP52" t="e">
        <f>AND('5 (Samb. 2)'!#REF!,"AAAAAHfdf8U=")</f>
        <v>#REF!</v>
      </c>
      <c r="GQ52" t="e">
        <f>AND('5 (Samb. 2)'!#REF!,"AAAAAHfdf8Y=")</f>
        <v>#REF!</v>
      </c>
      <c r="GR52" t="e">
        <f>AND('5 (Samb. 2)'!#REF!,"AAAAAHfdf8c=")</f>
        <v>#REF!</v>
      </c>
      <c r="GS52" t="e">
        <f>AND('5 (Samb. 2)'!#REF!,"AAAAAHfdf8g=")</f>
        <v>#REF!</v>
      </c>
      <c r="GT52" t="e">
        <f>AND('5 (Samb. 2)'!#REF!,"AAAAAHfdf8k=")</f>
        <v>#REF!</v>
      </c>
      <c r="GU52" t="e">
        <f>AND('5 (Samb. 2)'!#REF!,"AAAAAHfdf8o=")</f>
        <v>#REF!</v>
      </c>
      <c r="GV52" t="e">
        <f>AND('5 (Samb. 2)'!#REF!,"AAAAAHfdf8s=")</f>
        <v>#REF!</v>
      </c>
      <c r="GW52" t="e">
        <f>AND('5 (Samb. 2)'!#REF!,"AAAAAHfdf8w=")</f>
        <v>#REF!</v>
      </c>
      <c r="GX52" t="e">
        <f>AND('5 (Samb. 2)'!#REF!,"AAAAAHfdf80=")</f>
        <v>#REF!</v>
      </c>
      <c r="GY52" t="e">
        <f>AND('5 (Samb. 2)'!#REF!,"AAAAAHfdf84=")</f>
        <v>#REF!</v>
      </c>
      <c r="GZ52" t="e">
        <f>AND('5 (Samb. 2)'!#REF!,"AAAAAHfdf88=")</f>
        <v>#REF!</v>
      </c>
      <c r="HA52" t="e">
        <f>AND('5 (Samb. 2)'!#REF!,"AAAAAHfdf9A=")</f>
        <v>#REF!</v>
      </c>
      <c r="HB52" t="e">
        <f>AND('5 (Samb. 2)'!#REF!,"AAAAAHfdf9E=")</f>
        <v>#REF!</v>
      </c>
      <c r="HC52" t="e">
        <f>AND('5 (Samb. 2)'!#REF!,"AAAAAHfdf9I=")</f>
        <v>#REF!</v>
      </c>
      <c r="HD52" t="e">
        <f>AND('5 (Samb. 2)'!#REF!,"AAAAAHfdf9M=")</f>
        <v>#REF!</v>
      </c>
      <c r="HE52" t="e">
        <f>AND('5 (Samb. 2)'!#REF!,"AAAAAHfdf9Q=")</f>
        <v>#REF!</v>
      </c>
      <c r="HF52" t="e">
        <f>IF('5 (Samb. 2)'!#REF!,"AAAAAHfdf9U=",0)</f>
        <v>#REF!</v>
      </c>
      <c r="HG52" t="e">
        <f>AND('5 (Samb. 2)'!#REF!,"AAAAAHfdf9Y=")</f>
        <v>#REF!</v>
      </c>
      <c r="HH52" t="e">
        <f>AND('5 (Samb. 2)'!#REF!,"AAAAAHfdf9c=")</f>
        <v>#REF!</v>
      </c>
      <c r="HI52" t="e">
        <f>AND('5 (Samb. 2)'!#REF!,"AAAAAHfdf9g=")</f>
        <v>#REF!</v>
      </c>
      <c r="HJ52" t="e">
        <f>AND('5 (Samb. 2)'!#REF!,"AAAAAHfdf9k=")</f>
        <v>#REF!</v>
      </c>
      <c r="HK52" t="e">
        <f>AND('5 (Samb. 2)'!#REF!,"AAAAAHfdf9o=")</f>
        <v>#REF!</v>
      </c>
      <c r="HL52" t="e">
        <f>AND('5 (Samb. 2)'!#REF!,"AAAAAHfdf9s=")</f>
        <v>#REF!</v>
      </c>
      <c r="HM52" t="e">
        <f>AND('5 (Samb. 2)'!#REF!,"AAAAAHfdf9w=")</f>
        <v>#REF!</v>
      </c>
      <c r="HN52" t="e">
        <f>AND('5 (Samb. 2)'!#REF!,"AAAAAHfdf90=")</f>
        <v>#REF!</v>
      </c>
      <c r="HO52" t="e">
        <f>AND('5 (Samb. 2)'!#REF!,"AAAAAHfdf94=")</f>
        <v>#REF!</v>
      </c>
      <c r="HP52" t="e">
        <f>AND('5 (Samb. 2)'!#REF!,"AAAAAHfdf98=")</f>
        <v>#REF!</v>
      </c>
      <c r="HQ52" t="e">
        <f>AND('5 (Samb. 2)'!#REF!,"AAAAAHfdf+A=")</f>
        <v>#REF!</v>
      </c>
      <c r="HR52" t="e">
        <f>AND('5 (Samb. 2)'!#REF!,"AAAAAHfdf+E=")</f>
        <v>#REF!</v>
      </c>
      <c r="HS52" t="e">
        <f>AND('5 (Samb. 2)'!#REF!,"AAAAAHfdf+I=")</f>
        <v>#REF!</v>
      </c>
      <c r="HT52" t="e">
        <f>AND('5 (Samb. 2)'!#REF!,"AAAAAHfdf+M=")</f>
        <v>#REF!</v>
      </c>
      <c r="HU52" t="e">
        <f>AND('5 (Samb. 2)'!#REF!,"AAAAAHfdf+Q=")</f>
        <v>#REF!</v>
      </c>
      <c r="HV52" t="e">
        <f>AND('5 (Samb. 2)'!#REF!,"AAAAAHfdf+U=")</f>
        <v>#REF!</v>
      </c>
      <c r="HW52" t="e">
        <f>IF('5 (Samb. 2)'!#REF!,"AAAAAHfdf+Y=",0)</f>
        <v>#REF!</v>
      </c>
      <c r="HX52" t="e">
        <f>AND('5 (Samb. 2)'!#REF!,"AAAAAHfdf+c=")</f>
        <v>#REF!</v>
      </c>
      <c r="HY52" t="e">
        <f>AND('5 (Samb. 2)'!#REF!,"AAAAAHfdf+g=")</f>
        <v>#REF!</v>
      </c>
      <c r="HZ52" t="e">
        <f>AND('5 (Samb. 2)'!#REF!,"AAAAAHfdf+k=")</f>
        <v>#REF!</v>
      </c>
      <c r="IA52" t="e">
        <f>AND('5 (Samb. 2)'!#REF!,"AAAAAHfdf+o=")</f>
        <v>#REF!</v>
      </c>
      <c r="IB52" t="e">
        <f>AND('5 (Samb. 2)'!#REF!,"AAAAAHfdf+s=")</f>
        <v>#REF!</v>
      </c>
      <c r="IC52" t="e">
        <f>AND('5 (Samb. 2)'!#REF!,"AAAAAHfdf+w=")</f>
        <v>#REF!</v>
      </c>
      <c r="ID52" t="e">
        <f>AND('5 (Samb. 2)'!#REF!,"AAAAAHfdf+0=")</f>
        <v>#REF!</v>
      </c>
      <c r="IE52" t="e">
        <f>AND('5 (Samb. 2)'!#REF!,"AAAAAHfdf+4=")</f>
        <v>#REF!</v>
      </c>
      <c r="IF52" t="e">
        <f>AND('5 (Samb. 2)'!#REF!,"AAAAAHfdf+8=")</f>
        <v>#REF!</v>
      </c>
      <c r="IG52" t="e">
        <f>AND('5 (Samb. 2)'!#REF!,"AAAAAHfdf/A=")</f>
        <v>#REF!</v>
      </c>
      <c r="IH52" t="e">
        <f>AND('5 (Samb. 2)'!#REF!,"AAAAAHfdf/E=")</f>
        <v>#REF!</v>
      </c>
      <c r="II52" t="e">
        <f>AND('5 (Samb. 2)'!#REF!,"AAAAAHfdf/I=")</f>
        <v>#REF!</v>
      </c>
      <c r="IJ52" t="e">
        <f>AND('5 (Samb. 2)'!#REF!,"AAAAAHfdf/M=")</f>
        <v>#REF!</v>
      </c>
      <c r="IK52" t="e">
        <f>AND('5 (Samb. 2)'!#REF!,"AAAAAHfdf/Q=")</f>
        <v>#REF!</v>
      </c>
      <c r="IL52" t="e">
        <f>AND('5 (Samb. 2)'!#REF!,"AAAAAHfdf/U=")</f>
        <v>#REF!</v>
      </c>
      <c r="IM52" t="e">
        <f>AND('5 (Samb. 2)'!#REF!,"AAAAAHfdf/Y=")</f>
        <v>#REF!</v>
      </c>
      <c r="IN52" t="e">
        <f>IF('5 (Samb. 2)'!#REF!,"AAAAAHfdf/c=",0)</f>
        <v>#REF!</v>
      </c>
      <c r="IO52" t="e">
        <f>AND('5 (Samb. 2)'!#REF!,"AAAAAHfdf/g=")</f>
        <v>#REF!</v>
      </c>
      <c r="IP52" t="e">
        <f>AND('5 (Samb. 2)'!#REF!,"AAAAAHfdf/k=")</f>
        <v>#REF!</v>
      </c>
      <c r="IQ52" t="e">
        <f>AND('5 (Samb. 2)'!#REF!,"AAAAAHfdf/o=")</f>
        <v>#REF!</v>
      </c>
      <c r="IR52" t="e">
        <f>AND('5 (Samb. 2)'!#REF!,"AAAAAHfdf/s=")</f>
        <v>#REF!</v>
      </c>
      <c r="IS52" t="e">
        <f>AND('5 (Samb. 2)'!#REF!,"AAAAAHfdf/w=")</f>
        <v>#REF!</v>
      </c>
      <c r="IT52" t="e">
        <f>AND('5 (Samb. 2)'!#REF!,"AAAAAHfdf/0=")</f>
        <v>#REF!</v>
      </c>
      <c r="IU52" t="e">
        <f>AND('5 (Samb. 2)'!#REF!,"AAAAAHfdf/4=")</f>
        <v>#REF!</v>
      </c>
      <c r="IV52" t="e">
        <f>AND('5 (Samb. 2)'!#REF!,"AAAAAHfdf/8=")</f>
        <v>#REF!</v>
      </c>
    </row>
    <row r="53" spans="1:256" x14ac:dyDescent="0.25">
      <c r="A53" t="e">
        <f>AND('5 (Samb. 2)'!#REF!,"AAAAAHu7VAA=")</f>
        <v>#REF!</v>
      </c>
      <c r="B53" t="e">
        <f>AND('5 (Samb. 2)'!#REF!,"AAAAAHu7VAE=")</f>
        <v>#REF!</v>
      </c>
      <c r="C53" t="e">
        <f>AND('5 (Samb. 2)'!#REF!,"AAAAAHu7VAI=")</f>
        <v>#REF!</v>
      </c>
      <c r="D53" t="e">
        <f>AND('5 (Samb. 2)'!#REF!,"AAAAAHu7VAM=")</f>
        <v>#REF!</v>
      </c>
      <c r="E53" t="e">
        <f>AND('5 (Samb. 2)'!#REF!,"AAAAAHu7VAQ=")</f>
        <v>#REF!</v>
      </c>
      <c r="F53" t="e">
        <f>AND('5 (Samb. 2)'!#REF!,"AAAAAHu7VAU=")</f>
        <v>#REF!</v>
      </c>
      <c r="G53" t="e">
        <f>AND('5 (Samb. 2)'!#REF!,"AAAAAHu7VAY=")</f>
        <v>#REF!</v>
      </c>
      <c r="H53" t="e">
        <f>AND('5 (Samb. 2)'!#REF!,"AAAAAHu7VAc=")</f>
        <v>#REF!</v>
      </c>
      <c r="I53" t="e">
        <f>IF('5 (Samb. 2)'!#REF!,"AAAAAHu7VAg=",0)</f>
        <v>#REF!</v>
      </c>
      <c r="J53" t="e">
        <f>AND('5 (Samb. 2)'!#REF!,"AAAAAHu7VAk=")</f>
        <v>#REF!</v>
      </c>
      <c r="K53" t="e">
        <f>AND('5 (Samb. 2)'!#REF!,"AAAAAHu7VAo=")</f>
        <v>#REF!</v>
      </c>
      <c r="L53" t="e">
        <f>AND('5 (Samb. 2)'!#REF!,"AAAAAHu7VAs=")</f>
        <v>#REF!</v>
      </c>
      <c r="M53" t="e">
        <f>AND('5 (Samb. 2)'!#REF!,"AAAAAHu7VAw=")</f>
        <v>#REF!</v>
      </c>
      <c r="N53" t="e">
        <f>AND('5 (Samb. 2)'!#REF!,"AAAAAHu7VA0=")</f>
        <v>#REF!</v>
      </c>
      <c r="O53" t="e">
        <f>AND('5 (Samb. 2)'!#REF!,"AAAAAHu7VA4=")</f>
        <v>#REF!</v>
      </c>
      <c r="P53" t="e">
        <f>AND('5 (Samb. 2)'!#REF!,"AAAAAHu7VA8=")</f>
        <v>#REF!</v>
      </c>
      <c r="Q53" t="e">
        <f>AND('5 (Samb. 2)'!#REF!,"AAAAAHu7VBA=")</f>
        <v>#REF!</v>
      </c>
      <c r="R53" t="e">
        <f>AND('5 (Samb. 2)'!#REF!,"AAAAAHu7VBE=")</f>
        <v>#REF!</v>
      </c>
      <c r="S53" t="e">
        <f>AND('5 (Samb. 2)'!#REF!,"AAAAAHu7VBI=")</f>
        <v>#REF!</v>
      </c>
      <c r="T53" t="e">
        <f>AND('5 (Samb. 2)'!#REF!,"AAAAAHu7VBM=")</f>
        <v>#REF!</v>
      </c>
      <c r="U53" t="e">
        <f>AND('5 (Samb. 2)'!#REF!,"AAAAAHu7VBQ=")</f>
        <v>#REF!</v>
      </c>
      <c r="V53" t="e">
        <f>AND('5 (Samb. 2)'!#REF!,"AAAAAHu7VBU=")</f>
        <v>#REF!</v>
      </c>
      <c r="W53" t="e">
        <f>AND('5 (Samb. 2)'!#REF!,"AAAAAHu7VBY=")</f>
        <v>#REF!</v>
      </c>
      <c r="X53" t="e">
        <f>AND('5 (Samb. 2)'!#REF!,"AAAAAHu7VBc=")</f>
        <v>#REF!</v>
      </c>
      <c r="Y53" t="e">
        <f>AND('5 (Samb. 2)'!#REF!,"AAAAAHu7VBg=")</f>
        <v>#REF!</v>
      </c>
      <c r="Z53" t="e">
        <f>IF('5 (Samb. 2)'!#REF!,"AAAAAHu7VBk=",0)</f>
        <v>#REF!</v>
      </c>
      <c r="AA53" t="e">
        <f>AND('5 (Samb. 2)'!#REF!,"AAAAAHu7VBo=")</f>
        <v>#REF!</v>
      </c>
      <c r="AB53" t="e">
        <f>AND('5 (Samb. 2)'!#REF!,"AAAAAHu7VBs=")</f>
        <v>#REF!</v>
      </c>
      <c r="AC53" t="e">
        <f>AND('5 (Samb. 2)'!#REF!,"AAAAAHu7VBw=")</f>
        <v>#REF!</v>
      </c>
      <c r="AD53" t="e">
        <f>AND('5 (Samb. 2)'!#REF!,"AAAAAHu7VB0=")</f>
        <v>#REF!</v>
      </c>
      <c r="AE53" t="e">
        <f>AND('5 (Samb. 2)'!#REF!,"AAAAAHu7VB4=")</f>
        <v>#REF!</v>
      </c>
      <c r="AF53" t="e">
        <f>AND('5 (Samb. 2)'!#REF!,"AAAAAHu7VB8=")</f>
        <v>#REF!</v>
      </c>
      <c r="AG53" t="e">
        <f>AND('5 (Samb. 2)'!#REF!,"AAAAAHu7VCA=")</f>
        <v>#REF!</v>
      </c>
      <c r="AH53" t="e">
        <f>AND('5 (Samb. 2)'!#REF!,"AAAAAHu7VCE=")</f>
        <v>#REF!</v>
      </c>
      <c r="AI53" t="e">
        <f>AND('5 (Samb. 2)'!#REF!,"AAAAAHu7VCI=")</f>
        <v>#REF!</v>
      </c>
      <c r="AJ53" t="e">
        <f>AND('5 (Samb. 2)'!#REF!,"AAAAAHu7VCM=")</f>
        <v>#REF!</v>
      </c>
      <c r="AK53" t="e">
        <f>AND('5 (Samb. 2)'!#REF!,"AAAAAHu7VCQ=")</f>
        <v>#REF!</v>
      </c>
      <c r="AL53" t="e">
        <f>AND('5 (Samb. 2)'!#REF!,"AAAAAHu7VCU=")</f>
        <v>#REF!</v>
      </c>
      <c r="AM53" t="e">
        <f>AND('5 (Samb. 2)'!#REF!,"AAAAAHu7VCY=")</f>
        <v>#REF!</v>
      </c>
      <c r="AN53" t="e">
        <f>AND('5 (Samb. 2)'!#REF!,"AAAAAHu7VCc=")</f>
        <v>#REF!</v>
      </c>
      <c r="AO53" t="e">
        <f>AND('5 (Samb. 2)'!#REF!,"AAAAAHu7VCg=")</f>
        <v>#REF!</v>
      </c>
      <c r="AP53" t="e">
        <f>AND('5 (Samb. 2)'!#REF!,"AAAAAHu7VCk=")</f>
        <v>#REF!</v>
      </c>
      <c r="AQ53" t="e">
        <f>IF('5 (Samb. 2)'!#REF!,"AAAAAHu7VCo=",0)</f>
        <v>#REF!</v>
      </c>
      <c r="AR53" t="e">
        <f>AND('5 (Samb. 2)'!#REF!,"AAAAAHu7VCs=")</f>
        <v>#REF!</v>
      </c>
      <c r="AS53" t="e">
        <f>AND('5 (Samb. 2)'!#REF!,"AAAAAHu7VCw=")</f>
        <v>#REF!</v>
      </c>
      <c r="AT53" t="e">
        <f>AND('5 (Samb. 2)'!#REF!,"AAAAAHu7VC0=")</f>
        <v>#REF!</v>
      </c>
      <c r="AU53" t="e">
        <f>AND('5 (Samb. 2)'!#REF!,"AAAAAHu7VC4=")</f>
        <v>#REF!</v>
      </c>
      <c r="AV53" t="e">
        <f>AND('5 (Samb. 2)'!#REF!,"AAAAAHu7VC8=")</f>
        <v>#REF!</v>
      </c>
      <c r="AW53" t="e">
        <f>AND('5 (Samb. 2)'!#REF!,"AAAAAHu7VDA=")</f>
        <v>#REF!</v>
      </c>
      <c r="AX53" t="e">
        <f>AND('5 (Samb. 2)'!#REF!,"AAAAAHu7VDE=")</f>
        <v>#REF!</v>
      </c>
      <c r="AY53" t="e">
        <f>AND('5 (Samb. 2)'!#REF!,"AAAAAHu7VDI=")</f>
        <v>#REF!</v>
      </c>
      <c r="AZ53" t="e">
        <f>AND('5 (Samb. 2)'!#REF!,"AAAAAHu7VDM=")</f>
        <v>#REF!</v>
      </c>
      <c r="BA53" t="e">
        <f>AND('5 (Samb. 2)'!#REF!,"AAAAAHu7VDQ=")</f>
        <v>#REF!</v>
      </c>
      <c r="BB53" t="e">
        <f>AND('5 (Samb. 2)'!#REF!,"AAAAAHu7VDU=")</f>
        <v>#REF!</v>
      </c>
      <c r="BC53" t="e">
        <f>AND('5 (Samb. 2)'!#REF!,"AAAAAHu7VDY=")</f>
        <v>#REF!</v>
      </c>
      <c r="BD53" t="e">
        <f>AND('5 (Samb. 2)'!#REF!,"AAAAAHu7VDc=")</f>
        <v>#REF!</v>
      </c>
      <c r="BE53" t="e">
        <f>AND('5 (Samb. 2)'!#REF!,"AAAAAHu7VDg=")</f>
        <v>#REF!</v>
      </c>
      <c r="BF53" t="e">
        <f>AND('5 (Samb. 2)'!#REF!,"AAAAAHu7VDk=")</f>
        <v>#REF!</v>
      </c>
      <c r="BG53" t="e">
        <f>AND('5 (Samb. 2)'!#REF!,"AAAAAHu7VDo=")</f>
        <v>#REF!</v>
      </c>
      <c r="BH53" t="e">
        <f>IF('5 (Samb. 2)'!#REF!,"AAAAAHu7VDs=",0)</f>
        <v>#REF!</v>
      </c>
      <c r="BI53" t="e">
        <f>AND('5 (Samb. 2)'!#REF!,"AAAAAHu7VDw=")</f>
        <v>#REF!</v>
      </c>
      <c r="BJ53" t="e">
        <f>AND('5 (Samb. 2)'!#REF!,"AAAAAHu7VD0=")</f>
        <v>#REF!</v>
      </c>
      <c r="BK53" t="e">
        <f>AND('5 (Samb. 2)'!#REF!,"AAAAAHu7VD4=")</f>
        <v>#REF!</v>
      </c>
      <c r="BL53" t="e">
        <f>AND('5 (Samb. 2)'!#REF!,"AAAAAHu7VD8=")</f>
        <v>#REF!</v>
      </c>
      <c r="BM53" t="e">
        <f>AND('5 (Samb. 2)'!#REF!,"AAAAAHu7VEA=")</f>
        <v>#REF!</v>
      </c>
      <c r="BN53" t="e">
        <f>AND('5 (Samb. 2)'!#REF!,"AAAAAHu7VEE=")</f>
        <v>#REF!</v>
      </c>
      <c r="BO53" t="e">
        <f>AND('5 (Samb. 2)'!#REF!,"AAAAAHu7VEI=")</f>
        <v>#REF!</v>
      </c>
      <c r="BP53" t="e">
        <f>AND('5 (Samb. 2)'!#REF!,"AAAAAHu7VEM=")</f>
        <v>#REF!</v>
      </c>
      <c r="BQ53" t="e">
        <f>AND('5 (Samb. 2)'!#REF!,"AAAAAHu7VEQ=")</f>
        <v>#REF!</v>
      </c>
      <c r="BR53" t="e">
        <f>AND('5 (Samb. 2)'!#REF!,"AAAAAHu7VEU=")</f>
        <v>#REF!</v>
      </c>
      <c r="BS53" t="e">
        <f>AND('5 (Samb. 2)'!#REF!,"AAAAAHu7VEY=")</f>
        <v>#REF!</v>
      </c>
      <c r="BT53" t="e">
        <f>AND('5 (Samb. 2)'!#REF!,"AAAAAHu7VEc=")</f>
        <v>#REF!</v>
      </c>
      <c r="BU53" t="e">
        <f>AND('5 (Samb. 2)'!#REF!,"AAAAAHu7VEg=")</f>
        <v>#REF!</v>
      </c>
      <c r="BV53" t="e">
        <f>AND('5 (Samb. 2)'!#REF!,"AAAAAHu7VEk=")</f>
        <v>#REF!</v>
      </c>
      <c r="BW53" t="e">
        <f>AND('5 (Samb. 2)'!#REF!,"AAAAAHu7VEo=")</f>
        <v>#REF!</v>
      </c>
      <c r="BX53" t="e">
        <f>AND('5 (Samb. 2)'!#REF!,"AAAAAHu7VEs=")</f>
        <v>#REF!</v>
      </c>
      <c r="BY53" t="e">
        <f>IF('5 (Samb. 2)'!#REF!,"AAAAAHu7VEw=",0)</f>
        <v>#REF!</v>
      </c>
      <c r="BZ53" t="e">
        <f>AND('5 (Samb. 2)'!#REF!,"AAAAAHu7VE0=")</f>
        <v>#REF!</v>
      </c>
      <c r="CA53" t="e">
        <f>AND('5 (Samb. 2)'!#REF!,"AAAAAHu7VE4=")</f>
        <v>#REF!</v>
      </c>
      <c r="CB53" t="e">
        <f>AND('5 (Samb. 2)'!#REF!,"AAAAAHu7VE8=")</f>
        <v>#REF!</v>
      </c>
      <c r="CC53" t="e">
        <f>AND('5 (Samb. 2)'!#REF!,"AAAAAHu7VFA=")</f>
        <v>#REF!</v>
      </c>
      <c r="CD53" t="e">
        <f>AND('5 (Samb. 2)'!#REF!,"AAAAAHu7VFE=")</f>
        <v>#REF!</v>
      </c>
      <c r="CE53" t="e">
        <f>AND('5 (Samb. 2)'!#REF!,"AAAAAHu7VFI=")</f>
        <v>#REF!</v>
      </c>
      <c r="CF53" t="e">
        <f>AND('5 (Samb. 2)'!#REF!,"AAAAAHu7VFM=")</f>
        <v>#REF!</v>
      </c>
      <c r="CG53" t="e">
        <f>AND('5 (Samb. 2)'!#REF!,"AAAAAHu7VFQ=")</f>
        <v>#REF!</v>
      </c>
      <c r="CH53" t="e">
        <f>AND('5 (Samb. 2)'!#REF!,"AAAAAHu7VFU=")</f>
        <v>#REF!</v>
      </c>
      <c r="CI53" t="e">
        <f>AND('5 (Samb. 2)'!#REF!,"AAAAAHu7VFY=")</f>
        <v>#REF!</v>
      </c>
      <c r="CJ53" t="e">
        <f>AND('5 (Samb. 2)'!#REF!,"AAAAAHu7VFc=")</f>
        <v>#REF!</v>
      </c>
      <c r="CK53" t="e">
        <f>AND('5 (Samb. 2)'!#REF!,"AAAAAHu7VFg=")</f>
        <v>#REF!</v>
      </c>
      <c r="CL53" t="e">
        <f>AND('5 (Samb. 2)'!#REF!,"AAAAAHu7VFk=")</f>
        <v>#REF!</v>
      </c>
      <c r="CM53" t="e">
        <f>AND('5 (Samb. 2)'!#REF!,"AAAAAHu7VFo=")</f>
        <v>#REF!</v>
      </c>
      <c r="CN53" t="e">
        <f>AND('5 (Samb. 2)'!#REF!,"AAAAAHu7VFs=")</f>
        <v>#REF!</v>
      </c>
      <c r="CO53" t="e">
        <f>AND('5 (Samb. 2)'!#REF!,"AAAAAHu7VFw=")</f>
        <v>#REF!</v>
      </c>
      <c r="CP53">
        <f>IF('5 (Samb. 2)'!69:69,"AAAAAHu7VF0=",0)</f>
        <v>0</v>
      </c>
      <c r="CQ53" t="e">
        <f>AND('5 (Samb. 2)'!#REF!,"AAAAAHu7VF4=")</f>
        <v>#REF!</v>
      </c>
      <c r="CR53" t="e">
        <f>AND('5 (Samb. 2)'!A69,"AAAAAHu7VF8=")</f>
        <v>#VALUE!</v>
      </c>
      <c r="CS53" t="e">
        <f>AND('5 (Samb. 2)'!B69,"AAAAAHu7VGA=")</f>
        <v>#VALUE!</v>
      </c>
      <c r="CT53" t="e">
        <f>AND('5 (Samb. 2)'!#REF!,"AAAAAHu7VGE=")</f>
        <v>#REF!</v>
      </c>
      <c r="CU53" t="e">
        <f>AND('5 (Samb. 2)'!#REF!,"AAAAAHu7VGI=")</f>
        <v>#REF!</v>
      </c>
      <c r="CV53" t="e">
        <f>AND('5 (Samb. 2)'!C69,"AAAAAHu7VGM=")</f>
        <v>#VALUE!</v>
      </c>
      <c r="CW53" t="e">
        <f>AND('5 (Samb. 2)'!D69,"AAAAAHu7VGQ=")</f>
        <v>#VALUE!</v>
      </c>
      <c r="CX53" t="e">
        <f>AND('5 (Samb. 2)'!E69,"AAAAAHu7VGU=")</f>
        <v>#VALUE!</v>
      </c>
      <c r="CY53" t="e">
        <f>AND('5 (Samb. 2)'!F69,"AAAAAHu7VGY=")</f>
        <v>#VALUE!</v>
      </c>
      <c r="CZ53" t="e">
        <f>AND('5 (Samb. 2)'!G69,"AAAAAHu7VGc=")</f>
        <v>#VALUE!</v>
      </c>
      <c r="DA53" t="e">
        <f>AND('5 (Samb. 2)'!H69,"AAAAAHu7VGg=")</f>
        <v>#VALUE!</v>
      </c>
      <c r="DB53" t="e">
        <f>AND('5 (Samb. 2)'!I69,"AAAAAHu7VGk=")</f>
        <v>#VALUE!</v>
      </c>
      <c r="DC53" t="e">
        <f>AND('5 (Samb. 2)'!#REF!,"AAAAAHu7VGo=")</f>
        <v>#REF!</v>
      </c>
      <c r="DD53" t="e">
        <f>AND('5 (Samb. 2)'!#REF!,"AAAAAHu7VGs=")</f>
        <v>#REF!</v>
      </c>
      <c r="DE53" t="e">
        <f>AND('5 (Samb. 2)'!#REF!,"AAAAAHu7VGw=")</f>
        <v>#REF!</v>
      </c>
      <c r="DF53" t="e">
        <f>AND('5 (Samb. 2)'!#REF!,"AAAAAHu7VG0=")</f>
        <v>#REF!</v>
      </c>
      <c r="DG53">
        <f>IF('5 (Samb. 2)'!70:70,"AAAAAHu7VG4=",0)</f>
        <v>0</v>
      </c>
      <c r="DH53" t="e">
        <f>AND('5 (Samb. 2)'!#REF!,"AAAAAHu7VG8=")</f>
        <v>#REF!</v>
      </c>
      <c r="DI53" t="e">
        <f>AND('5 (Samb. 2)'!A70,"AAAAAHu7VHA=")</f>
        <v>#VALUE!</v>
      </c>
      <c r="DJ53" t="e">
        <f>AND('5 (Samb. 2)'!B70,"AAAAAHu7VHE=")</f>
        <v>#VALUE!</v>
      </c>
      <c r="DK53" t="e">
        <f>AND('5 (Samb. 2)'!#REF!,"AAAAAHu7VHI=")</f>
        <v>#REF!</v>
      </c>
      <c r="DL53" t="e">
        <f>AND('5 (Samb. 2)'!#REF!,"AAAAAHu7VHM=")</f>
        <v>#REF!</v>
      </c>
      <c r="DM53" t="e">
        <f>AND('5 (Samb. 2)'!C70,"AAAAAHu7VHQ=")</f>
        <v>#VALUE!</v>
      </c>
      <c r="DN53" t="e">
        <f>AND('5 (Samb. 2)'!D70,"AAAAAHu7VHU=")</f>
        <v>#VALUE!</v>
      </c>
      <c r="DO53" t="e">
        <f>AND('5 (Samb. 2)'!E70,"AAAAAHu7VHY=")</f>
        <v>#VALUE!</v>
      </c>
      <c r="DP53" t="e">
        <f>AND('5 (Samb. 2)'!F70,"AAAAAHu7VHc=")</f>
        <v>#VALUE!</v>
      </c>
      <c r="DQ53" t="e">
        <f>AND('5 (Samb. 2)'!G70,"AAAAAHu7VHg=")</f>
        <v>#VALUE!</v>
      </c>
      <c r="DR53" t="e">
        <f>AND('5 (Samb. 2)'!H70,"AAAAAHu7VHk=")</f>
        <v>#VALUE!</v>
      </c>
      <c r="DS53" t="e">
        <f>AND('5 (Samb. 2)'!I70,"AAAAAHu7VHo=")</f>
        <v>#VALUE!</v>
      </c>
      <c r="DT53" t="e">
        <f>AND('5 (Samb. 2)'!#REF!,"AAAAAHu7VHs=")</f>
        <v>#REF!</v>
      </c>
      <c r="DU53" t="e">
        <f>AND('5 (Samb. 2)'!#REF!,"AAAAAHu7VHw=")</f>
        <v>#REF!</v>
      </c>
      <c r="DV53" t="e">
        <f>AND('5 (Samb. 2)'!#REF!,"AAAAAHu7VH0=")</f>
        <v>#REF!</v>
      </c>
      <c r="DW53" t="e">
        <f>AND('5 (Samb. 2)'!#REF!,"AAAAAHu7VH4=")</f>
        <v>#REF!</v>
      </c>
      <c r="DX53">
        <f>IF('5 (Samb. 2)'!71:71,"AAAAAHu7VH8=",0)</f>
        <v>0</v>
      </c>
      <c r="DY53" t="e">
        <f>AND('5 (Samb. 2)'!#REF!,"AAAAAHu7VIA=")</f>
        <v>#REF!</v>
      </c>
      <c r="DZ53" t="e">
        <f>AND('5 (Samb. 2)'!A71,"AAAAAHu7VIE=")</f>
        <v>#VALUE!</v>
      </c>
      <c r="EA53" t="e">
        <f>AND('5 (Samb. 2)'!B71,"AAAAAHu7VII=")</f>
        <v>#VALUE!</v>
      </c>
      <c r="EB53" t="e">
        <f>AND('5 (Samb. 2)'!#REF!,"AAAAAHu7VIM=")</f>
        <v>#REF!</v>
      </c>
      <c r="EC53" t="e">
        <f>AND('5 (Samb. 2)'!#REF!,"AAAAAHu7VIQ=")</f>
        <v>#REF!</v>
      </c>
      <c r="ED53" t="e">
        <f>AND('5 (Samb. 2)'!C71,"AAAAAHu7VIU=")</f>
        <v>#VALUE!</v>
      </c>
      <c r="EE53" t="e">
        <f>AND('5 (Samb. 2)'!D71,"AAAAAHu7VIY=")</f>
        <v>#VALUE!</v>
      </c>
      <c r="EF53" t="e">
        <f>AND('5 (Samb. 2)'!E71,"AAAAAHu7VIc=")</f>
        <v>#VALUE!</v>
      </c>
      <c r="EG53" t="e">
        <f>AND('5 (Samb. 2)'!F71,"AAAAAHu7VIg=")</f>
        <v>#VALUE!</v>
      </c>
      <c r="EH53" t="e">
        <f>AND('5 (Samb. 2)'!G71,"AAAAAHu7VIk=")</f>
        <v>#VALUE!</v>
      </c>
      <c r="EI53" t="e">
        <f>AND('5 (Samb. 2)'!H71,"AAAAAHu7VIo=")</f>
        <v>#VALUE!</v>
      </c>
      <c r="EJ53" t="e">
        <f>AND('5 (Samb. 2)'!I71,"AAAAAHu7VIs=")</f>
        <v>#VALUE!</v>
      </c>
      <c r="EK53" t="e">
        <f>AND('5 (Samb. 2)'!#REF!,"AAAAAHu7VIw=")</f>
        <v>#REF!</v>
      </c>
      <c r="EL53" t="e">
        <f>AND('5 (Samb. 2)'!#REF!,"AAAAAHu7VI0=")</f>
        <v>#REF!</v>
      </c>
      <c r="EM53" t="e">
        <f>AND('5 (Samb. 2)'!#REF!,"AAAAAHu7VI4=")</f>
        <v>#REF!</v>
      </c>
      <c r="EN53" t="e">
        <f>AND('5 (Samb. 2)'!#REF!,"AAAAAHu7VI8=")</f>
        <v>#REF!</v>
      </c>
      <c r="EO53">
        <f>IF('5 (Samb. 2)'!72:72,"AAAAAHu7VJA=",0)</f>
        <v>0</v>
      </c>
      <c r="EP53" t="e">
        <f>AND('5 (Samb. 2)'!#REF!,"AAAAAHu7VJE=")</f>
        <v>#REF!</v>
      </c>
      <c r="EQ53" t="e">
        <f>AND('5 (Samb. 2)'!A72,"AAAAAHu7VJI=")</f>
        <v>#VALUE!</v>
      </c>
      <c r="ER53" t="e">
        <f>AND('5 (Samb. 2)'!B72,"AAAAAHu7VJM=")</f>
        <v>#VALUE!</v>
      </c>
      <c r="ES53" t="e">
        <f>AND('5 (Samb. 2)'!#REF!,"AAAAAHu7VJQ=")</f>
        <v>#REF!</v>
      </c>
      <c r="ET53" t="e">
        <f>AND('5 (Samb. 2)'!#REF!,"AAAAAHu7VJU=")</f>
        <v>#REF!</v>
      </c>
      <c r="EU53" t="e">
        <f>AND('5 (Samb. 2)'!C72,"AAAAAHu7VJY=")</f>
        <v>#VALUE!</v>
      </c>
      <c r="EV53" t="e">
        <f>AND('5 (Samb. 2)'!D72,"AAAAAHu7VJc=")</f>
        <v>#VALUE!</v>
      </c>
      <c r="EW53" t="e">
        <f>AND('5 (Samb. 2)'!E72,"AAAAAHu7VJg=")</f>
        <v>#VALUE!</v>
      </c>
      <c r="EX53" t="e">
        <f>AND('5 (Samb. 2)'!F72,"AAAAAHu7VJk=")</f>
        <v>#VALUE!</v>
      </c>
      <c r="EY53" t="e">
        <f>AND('5 (Samb. 2)'!G72,"AAAAAHu7VJo=")</f>
        <v>#VALUE!</v>
      </c>
      <c r="EZ53" t="e">
        <f>AND('5 (Samb. 2)'!H72,"AAAAAHu7VJs=")</f>
        <v>#VALUE!</v>
      </c>
      <c r="FA53" t="e">
        <f>AND('5 (Samb. 2)'!I72,"AAAAAHu7VJw=")</f>
        <v>#VALUE!</v>
      </c>
      <c r="FB53" t="e">
        <f>AND('5 (Samb. 2)'!#REF!,"AAAAAHu7VJ0=")</f>
        <v>#REF!</v>
      </c>
      <c r="FC53" t="e">
        <f>AND('5 (Samb. 2)'!#REF!,"AAAAAHu7VJ4=")</f>
        <v>#REF!</v>
      </c>
      <c r="FD53" t="e">
        <f>AND('5 (Samb. 2)'!#REF!,"AAAAAHu7VJ8=")</f>
        <v>#REF!</v>
      </c>
      <c r="FE53" t="e">
        <f>AND('5 (Samb. 2)'!#REF!,"AAAAAHu7VKA=")</f>
        <v>#REF!</v>
      </c>
      <c r="FF53">
        <f>IF('5 (Samb. 2)'!74:74,"AAAAAHu7VKE=",0)</f>
        <v>0</v>
      </c>
      <c r="FG53" t="e">
        <f>AND('5 (Samb. 2)'!#REF!,"AAAAAHu7VKI=")</f>
        <v>#REF!</v>
      </c>
      <c r="FH53" t="e">
        <f>AND('5 (Samb. 2)'!A74,"AAAAAHu7VKM=")</f>
        <v>#VALUE!</v>
      </c>
      <c r="FI53" t="e">
        <f>AND('5 (Samb. 2)'!B74,"AAAAAHu7VKQ=")</f>
        <v>#VALUE!</v>
      </c>
      <c r="FJ53" t="e">
        <f>AND('5 (Samb. 2)'!#REF!,"AAAAAHu7VKU=")</f>
        <v>#REF!</v>
      </c>
      <c r="FK53" t="e">
        <f>AND('5 (Samb. 2)'!#REF!,"AAAAAHu7VKY=")</f>
        <v>#REF!</v>
      </c>
      <c r="FL53" t="e">
        <f>AND('5 (Samb. 2)'!C74,"AAAAAHu7VKc=")</f>
        <v>#VALUE!</v>
      </c>
      <c r="FM53" t="e">
        <f>AND('5 (Samb. 2)'!D74,"AAAAAHu7VKg=")</f>
        <v>#VALUE!</v>
      </c>
      <c r="FN53" t="e">
        <f>AND('5 (Samb. 2)'!E74,"AAAAAHu7VKk=")</f>
        <v>#VALUE!</v>
      </c>
      <c r="FO53" t="e">
        <f>AND('5 (Samb. 2)'!F74,"AAAAAHu7VKo=")</f>
        <v>#VALUE!</v>
      </c>
      <c r="FP53" t="e">
        <f>AND('5 (Samb. 2)'!G74,"AAAAAHu7VKs=")</f>
        <v>#VALUE!</v>
      </c>
      <c r="FQ53" t="e">
        <f>AND('5 (Samb. 2)'!H74,"AAAAAHu7VKw=")</f>
        <v>#VALUE!</v>
      </c>
      <c r="FR53" t="e">
        <f>AND('5 (Samb. 2)'!I74,"AAAAAHu7VK0=")</f>
        <v>#VALUE!</v>
      </c>
      <c r="FS53" t="e">
        <f>AND('5 (Samb. 2)'!#REF!,"AAAAAHu7VK4=")</f>
        <v>#REF!</v>
      </c>
      <c r="FT53" t="e">
        <f>AND('5 (Samb. 2)'!#REF!,"AAAAAHu7VK8=")</f>
        <v>#REF!</v>
      </c>
      <c r="FU53" t="e">
        <f>AND('5 (Samb. 2)'!#REF!,"AAAAAHu7VLA=")</f>
        <v>#REF!</v>
      </c>
      <c r="FV53" t="e">
        <f>AND('5 (Samb. 2)'!#REF!,"AAAAAHu7VLE=")</f>
        <v>#REF!</v>
      </c>
      <c r="FW53">
        <f>IF('5 (Samb. 2)'!75:75,"AAAAAHu7VLI=",0)</f>
        <v>0</v>
      </c>
      <c r="FX53">
        <f>IF('5 (Samb. 2)'!76:76,"AAAAAHu7VLM=",0)</f>
        <v>0</v>
      </c>
      <c r="FY53">
        <f>IF('5 (Samb. 2)'!77:77,"AAAAAHu7VLQ=",0)</f>
        <v>0</v>
      </c>
      <c r="FZ53">
        <f>IF('5 (Samb. 2)'!78:78,"AAAAAHu7VLU=",0)</f>
        <v>0</v>
      </c>
      <c r="GA53">
        <f>IF('5 (Samb. 2)'!79:79,"AAAAAHu7VLY=",0)</f>
        <v>0</v>
      </c>
      <c r="GB53">
        <f>IF('5 (Samb. 2)'!80:80,"AAAAAHu7VLc=",0)</f>
        <v>0</v>
      </c>
      <c r="GC53">
        <f>IF('5 (Samb. 2)'!81:81,"AAAAAHu7VLg=",0)</f>
        <v>0</v>
      </c>
      <c r="GD53">
        <f>IF('5 (Samb. 2)'!82:82,"AAAAAHu7VLk=",0)</f>
        <v>0</v>
      </c>
      <c r="GE53" t="e">
        <f>IF('5 (Samb. 2)'!#REF!,"AAAAAHu7VLo=",0)</f>
        <v>#REF!</v>
      </c>
      <c r="GF53">
        <f>IF('5 (Samb. 2)'!A:A,"AAAAAHu7VLs=",0)</f>
        <v>0</v>
      </c>
      <c r="GG53" t="e">
        <f>IF('5 (Samb. 2)'!B:B,"AAAAAHu7VLw=",0)</f>
        <v>#VALUE!</v>
      </c>
      <c r="GH53" t="e">
        <f>IF('5 (Samb. 2)'!#REF!,"AAAAAHu7VL0=",0)</f>
        <v>#REF!</v>
      </c>
      <c r="GI53" t="e">
        <f>IF('5 (Samb. 2)'!#REF!,"AAAAAHu7VL4=",0)</f>
        <v>#REF!</v>
      </c>
      <c r="GJ53" t="str">
        <f>IF('5 (Samb. 2)'!C:C,"AAAAAHu7VL8=",0)</f>
        <v>AAAAAHu7VL8=</v>
      </c>
      <c r="GK53" t="str">
        <f>IF('5 (Samb. 2)'!D:D,"AAAAAHu7VMA=",0)</f>
        <v>AAAAAHu7VMA=</v>
      </c>
      <c r="GL53" t="str">
        <f>IF('5 (Samb. 2)'!E:E,"AAAAAHu7VME=",0)</f>
        <v>AAAAAHu7VME=</v>
      </c>
      <c r="GM53" t="str">
        <f>IF('5 (Samb. 2)'!F:F,"AAAAAHu7VMI=",0)</f>
        <v>AAAAAHu7VMI=</v>
      </c>
      <c r="GN53" t="str">
        <f>IF('5 (Samb. 2)'!G:G,"AAAAAHu7VMM=",0)</f>
        <v>AAAAAHu7VMM=</v>
      </c>
      <c r="GO53" t="str">
        <f>IF('5 (Samb. 2)'!H:H,"AAAAAHu7VMQ=",0)</f>
        <v>AAAAAHu7VMQ=</v>
      </c>
      <c r="GP53">
        <f>IF('5 (Samb. 2)'!I:I,"AAAAAHu7VMU=",0)</f>
        <v>0</v>
      </c>
      <c r="GQ53" t="e">
        <f>IF('5 (Samb. 2)'!#REF!,"AAAAAHu7VMY=",0)</f>
        <v>#REF!</v>
      </c>
      <c r="GR53" t="e">
        <f>IF('5 (Samb. 2)'!#REF!,"AAAAAHu7VMc=",0)</f>
        <v>#REF!</v>
      </c>
      <c r="GS53" t="e">
        <f ca="1">IF(_xlfn.SINGLE('5 (Samb. 2)'!#REF!),"AAAAAHu7VMg=",0)</f>
        <v>#NAME?</v>
      </c>
      <c r="GT53" t="e">
        <f ca="1">IF(_xlfn.SINGLE('5 (Samb. 2)'!#REF!),"AAAAAHu7VMk=",0)</f>
        <v>#NAME?</v>
      </c>
      <c r="GU53" t="e">
        <f>IF(#REF!,"AAAAAHu7VMo=",0)</f>
        <v>#REF!</v>
      </c>
      <c r="GV53" t="e">
        <f>AND(#REF!,"AAAAAHu7VMs=")</f>
        <v>#REF!</v>
      </c>
      <c r="GW53" t="e">
        <f>AND(#REF!,"AAAAAHu7VMw=")</f>
        <v>#REF!</v>
      </c>
      <c r="GX53" t="e">
        <f>AND(#REF!,"AAAAAHu7VM0=")</f>
        <v>#REF!</v>
      </c>
      <c r="GY53" t="e">
        <f>AND(#REF!,"AAAAAHu7VM4=")</f>
        <v>#REF!</v>
      </c>
      <c r="GZ53" t="e">
        <f>AND(#REF!,"AAAAAHu7VM8=")</f>
        <v>#REF!</v>
      </c>
      <c r="HA53" t="e">
        <f>AND(#REF!,"AAAAAHu7VNA=")</f>
        <v>#REF!</v>
      </c>
      <c r="HB53" t="e">
        <f>AND(#REF!,"AAAAAHu7VNE=")</f>
        <v>#REF!</v>
      </c>
      <c r="HC53" t="e">
        <f>AND(#REF!,"AAAAAHu7VNI=")</f>
        <v>#REF!</v>
      </c>
      <c r="HD53" t="e">
        <f>AND(#REF!,"AAAAAHu7VNM=")</f>
        <v>#REF!</v>
      </c>
      <c r="HE53" t="e">
        <f>AND(#REF!,"AAAAAHu7VNQ=")</f>
        <v>#REF!</v>
      </c>
      <c r="HF53" t="e">
        <f>AND(#REF!,"AAAAAHu7VNU=")</f>
        <v>#REF!</v>
      </c>
      <c r="HG53" t="e">
        <f>AND(#REF!,"AAAAAHu7VNY=")</f>
        <v>#REF!</v>
      </c>
      <c r="HH53" t="e">
        <f>AND(#REF!,"AAAAAHu7VNc=")</f>
        <v>#REF!</v>
      </c>
      <c r="HI53" t="e">
        <f>AND(#REF!,"AAAAAHu7VNg=")</f>
        <v>#REF!</v>
      </c>
      <c r="HJ53" t="e">
        <f>AND(#REF!,"AAAAAHu7VNk=")</f>
        <v>#REF!</v>
      </c>
      <c r="HK53" t="e">
        <f>AND(#REF!,"AAAAAHu7VNo=")</f>
        <v>#REF!</v>
      </c>
      <c r="HL53" t="e">
        <f>IF(#REF!,"AAAAAHu7VNs=",0)</f>
        <v>#REF!</v>
      </c>
      <c r="HM53" t="e">
        <f>AND(#REF!,"AAAAAHu7VNw=")</f>
        <v>#REF!</v>
      </c>
      <c r="HN53" t="e">
        <f>AND(#REF!,"AAAAAHu7VN0=")</f>
        <v>#REF!</v>
      </c>
      <c r="HO53" t="e">
        <f>AND(#REF!,"AAAAAHu7VN4=")</f>
        <v>#REF!</v>
      </c>
      <c r="HP53" t="e">
        <f>AND(#REF!,"AAAAAHu7VN8=")</f>
        <v>#REF!</v>
      </c>
      <c r="HQ53" t="e">
        <f>AND(#REF!,"AAAAAHu7VOA=")</f>
        <v>#REF!</v>
      </c>
      <c r="HR53" t="e">
        <f>AND(#REF!,"AAAAAHu7VOE=")</f>
        <v>#REF!</v>
      </c>
      <c r="HS53" t="e">
        <f>AND(#REF!,"AAAAAHu7VOI=")</f>
        <v>#REF!</v>
      </c>
      <c r="HT53" t="e">
        <f>AND(#REF!,"AAAAAHu7VOM=")</f>
        <v>#REF!</v>
      </c>
      <c r="HU53" t="e">
        <f>AND(#REF!,"AAAAAHu7VOQ=")</f>
        <v>#REF!</v>
      </c>
      <c r="HV53" t="e">
        <f>AND(#REF!,"AAAAAHu7VOU=")</f>
        <v>#REF!</v>
      </c>
      <c r="HW53" t="e">
        <f>AND(#REF!,"AAAAAHu7VOY=")</f>
        <v>#REF!</v>
      </c>
      <c r="HX53" t="e">
        <f>AND(#REF!,"AAAAAHu7VOc=")</f>
        <v>#REF!</v>
      </c>
      <c r="HY53" t="e">
        <f>AND(#REF!,"AAAAAHu7VOg=")</f>
        <v>#REF!</v>
      </c>
      <c r="HZ53" t="e">
        <f>AND(#REF!,"AAAAAHu7VOk=")</f>
        <v>#REF!</v>
      </c>
      <c r="IA53" t="e">
        <f>AND(#REF!,"AAAAAHu7VOo=")</f>
        <v>#REF!</v>
      </c>
      <c r="IB53" t="e">
        <f>AND(#REF!,"AAAAAHu7VOs=")</f>
        <v>#REF!</v>
      </c>
      <c r="IC53" t="e">
        <f>IF(#REF!,"AAAAAHu7VOw=",0)</f>
        <v>#REF!</v>
      </c>
      <c r="ID53" t="e">
        <f>AND(#REF!,"AAAAAHu7VO0=")</f>
        <v>#REF!</v>
      </c>
      <c r="IE53" t="e">
        <f>AND(#REF!,"AAAAAHu7VO4=")</f>
        <v>#REF!</v>
      </c>
      <c r="IF53" t="e">
        <f>AND(#REF!,"AAAAAHu7VO8=")</f>
        <v>#REF!</v>
      </c>
      <c r="IG53" t="e">
        <f>AND(#REF!,"AAAAAHu7VPA=")</f>
        <v>#REF!</v>
      </c>
      <c r="IH53" t="e">
        <f>AND(#REF!,"AAAAAHu7VPE=")</f>
        <v>#REF!</v>
      </c>
      <c r="II53" t="e">
        <f>AND(#REF!,"AAAAAHu7VPI=")</f>
        <v>#REF!</v>
      </c>
      <c r="IJ53" t="e">
        <f>AND(#REF!,"AAAAAHu7VPM=")</f>
        <v>#REF!</v>
      </c>
      <c r="IK53" t="e">
        <f>AND(#REF!,"AAAAAHu7VPQ=")</f>
        <v>#REF!</v>
      </c>
      <c r="IL53" t="e">
        <f>AND(#REF!,"AAAAAHu7VPU=")</f>
        <v>#REF!</v>
      </c>
      <c r="IM53" t="e">
        <f>AND(#REF!,"AAAAAHu7VPY=")</f>
        <v>#REF!</v>
      </c>
      <c r="IN53" t="e">
        <f>AND(#REF!,"AAAAAHu7VPc=")</f>
        <v>#REF!</v>
      </c>
      <c r="IO53" t="e">
        <f>AND(#REF!,"AAAAAHu7VPg=")</f>
        <v>#REF!</v>
      </c>
      <c r="IP53" t="e">
        <f>AND(#REF!,"AAAAAHu7VPk=")</f>
        <v>#REF!</v>
      </c>
      <c r="IQ53" t="e">
        <f>AND(#REF!,"AAAAAHu7VPo=")</f>
        <v>#REF!</v>
      </c>
      <c r="IR53" t="e">
        <f>AND(#REF!,"AAAAAHu7VPs=")</f>
        <v>#REF!</v>
      </c>
      <c r="IS53" t="e">
        <f>AND(#REF!,"AAAAAHu7VPw=")</f>
        <v>#REF!</v>
      </c>
      <c r="IT53" t="e">
        <f>IF(#REF!,"AAAAAHu7VP0=",0)</f>
        <v>#REF!</v>
      </c>
      <c r="IU53" t="e">
        <f>AND(#REF!,"AAAAAHu7VP4=")</f>
        <v>#REF!</v>
      </c>
      <c r="IV53" t="e">
        <f>AND(#REF!,"AAAAAHu7VP8=")</f>
        <v>#REF!</v>
      </c>
    </row>
    <row r="54" spans="1:256" x14ac:dyDescent="0.25">
      <c r="A54" t="e">
        <f>AND(#REF!,"AAAAADf/7wA=")</f>
        <v>#REF!</v>
      </c>
      <c r="B54" t="e">
        <f>AND(#REF!,"AAAAADf/7wE=")</f>
        <v>#REF!</v>
      </c>
      <c r="C54" t="e">
        <f>AND(#REF!,"AAAAADf/7wI=")</f>
        <v>#REF!</v>
      </c>
      <c r="D54" t="e">
        <f>AND(#REF!,"AAAAADf/7wM=")</f>
        <v>#REF!</v>
      </c>
      <c r="E54" t="e">
        <f>AND(#REF!,"AAAAADf/7wQ=")</f>
        <v>#REF!</v>
      </c>
      <c r="F54" t="e">
        <f>AND(#REF!,"AAAAADf/7wU=")</f>
        <v>#REF!</v>
      </c>
      <c r="G54" t="e">
        <f>AND(#REF!,"AAAAADf/7wY=")</f>
        <v>#REF!</v>
      </c>
      <c r="H54" t="e">
        <f>AND(#REF!,"AAAAADf/7wc=")</f>
        <v>#REF!</v>
      </c>
      <c r="I54" t="e">
        <f>AND(#REF!,"AAAAADf/7wg=")</f>
        <v>#REF!</v>
      </c>
      <c r="J54" t="e">
        <f>AND(#REF!,"AAAAADf/7wk=")</f>
        <v>#REF!</v>
      </c>
      <c r="K54" t="e">
        <f>AND(#REF!,"AAAAADf/7wo=")</f>
        <v>#REF!</v>
      </c>
      <c r="L54" t="e">
        <f>AND(#REF!,"AAAAADf/7ws=")</f>
        <v>#REF!</v>
      </c>
      <c r="M54" t="e">
        <f>AND(#REF!,"AAAAADf/7ww=")</f>
        <v>#REF!</v>
      </c>
      <c r="N54" t="e">
        <f>AND(#REF!,"AAAAADf/7w0=")</f>
        <v>#REF!</v>
      </c>
      <c r="O54" t="e">
        <f>IF(#REF!,"AAAAADf/7w4=",0)</f>
        <v>#REF!</v>
      </c>
      <c r="P54" t="e">
        <f>AND(#REF!,"AAAAADf/7w8=")</f>
        <v>#REF!</v>
      </c>
      <c r="Q54" t="e">
        <f>AND(#REF!,"AAAAADf/7xA=")</f>
        <v>#REF!</v>
      </c>
      <c r="R54" t="e">
        <f>AND(#REF!,"AAAAADf/7xE=")</f>
        <v>#REF!</v>
      </c>
      <c r="S54" t="e">
        <f>AND(#REF!,"AAAAADf/7xI=")</f>
        <v>#REF!</v>
      </c>
      <c r="T54" t="e">
        <f>AND(#REF!,"AAAAADf/7xM=")</f>
        <v>#REF!</v>
      </c>
      <c r="U54" t="e">
        <f>AND(#REF!,"AAAAADf/7xQ=")</f>
        <v>#REF!</v>
      </c>
      <c r="V54" t="e">
        <f>AND(#REF!,"AAAAADf/7xU=")</f>
        <v>#REF!</v>
      </c>
      <c r="W54" t="e">
        <f>AND(#REF!,"AAAAADf/7xY=")</f>
        <v>#REF!</v>
      </c>
      <c r="X54" t="e">
        <f>AND(#REF!,"AAAAADf/7xc=")</f>
        <v>#REF!</v>
      </c>
      <c r="Y54" t="e">
        <f>AND(#REF!,"AAAAADf/7xg=")</f>
        <v>#REF!</v>
      </c>
      <c r="Z54" t="e">
        <f>AND(#REF!,"AAAAADf/7xk=")</f>
        <v>#REF!</v>
      </c>
      <c r="AA54" t="e">
        <f>AND(#REF!,"AAAAADf/7xo=")</f>
        <v>#REF!</v>
      </c>
      <c r="AB54" t="e">
        <f>AND(#REF!,"AAAAADf/7xs=")</f>
        <v>#REF!</v>
      </c>
      <c r="AC54" t="e">
        <f>AND(#REF!,"AAAAADf/7xw=")</f>
        <v>#REF!</v>
      </c>
      <c r="AD54" t="e">
        <f>AND(#REF!,"AAAAADf/7x0=")</f>
        <v>#REF!</v>
      </c>
      <c r="AE54" t="e">
        <f>AND(#REF!,"AAAAADf/7x4=")</f>
        <v>#REF!</v>
      </c>
      <c r="AF54" t="e">
        <f>IF(#REF!,"AAAAADf/7x8=",0)</f>
        <v>#REF!</v>
      </c>
      <c r="AG54" t="e">
        <f>AND(#REF!,"AAAAADf/7yA=")</f>
        <v>#REF!</v>
      </c>
      <c r="AH54" t="e">
        <f>AND(#REF!,"AAAAADf/7yE=")</f>
        <v>#REF!</v>
      </c>
      <c r="AI54" t="e">
        <f>AND(#REF!,"AAAAADf/7yI=")</f>
        <v>#REF!</v>
      </c>
      <c r="AJ54" t="e">
        <f>AND(#REF!,"AAAAADf/7yM=")</f>
        <v>#REF!</v>
      </c>
      <c r="AK54" t="e">
        <f>AND(#REF!,"AAAAADf/7yQ=")</f>
        <v>#REF!</v>
      </c>
      <c r="AL54" t="e">
        <f>AND(#REF!,"AAAAADf/7yU=")</f>
        <v>#REF!</v>
      </c>
      <c r="AM54" t="e">
        <f>AND(#REF!,"AAAAADf/7yY=")</f>
        <v>#REF!</v>
      </c>
      <c r="AN54" t="e">
        <f>AND(#REF!,"AAAAADf/7yc=")</f>
        <v>#REF!</v>
      </c>
      <c r="AO54" t="e">
        <f>AND(#REF!,"AAAAADf/7yg=")</f>
        <v>#REF!</v>
      </c>
      <c r="AP54" t="e">
        <f>AND(#REF!,"AAAAADf/7yk=")</f>
        <v>#REF!</v>
      </c>
      <c r="AQ54" t="e">
        <f>AND(#REF!,"AAAAADf/7yo=")</f>
        <v>#REF!</v>
      </c>
      <c r="AR54" t="e">
        <f>AND(#REF!,"AAAAADf/7ys=")</f>
        <v>#REF!</v>
      </c>
      <c r="AS54" t="e">
        <f>AND(#REF!,"AAAAADf/7yw=")</f>
        <v>#REF!</v>
      </c>
      <c r="AT54" t="e">
        <f>AND(#REF!,"AAAAADf/7y0=")</f>
        <v>#REF!</v>
      </c>
      <c r="AU54" t="e">
        <f>AND(#REF!,"AAAAADf/7y4=")</f>
        <v>#REF!</v>
      </c>
      <c r="AV54" t="e">
        <f>AND(#REF!,"AAAAADf/7y8=")</f>
        <v>#REF!</v>
      </c>
      <c r="AW54" t="e">
        <f>IF(#REF!,"AAAAADf/7zA=",0)</f>
        <v>#REF!</v>
      </c>
      <c r="AX54" t="e">
        <f>AND(#REF!,"AAAAADf/7zE=")</f>
        <v>#REF!</v>
      </c>
      <c r="AY54" t="e">
        <f>AND(#REF!,"AAAAADf/7zI=")</f>
        <v>#REF!</v>
      </c>
      <c r="AZ54" t="e">
        <f>AND(#REF!,"AAAAADf/7zM=")</f>
        <v>#REF!</v>
      </c>
      <c r="BA54" t="e">
        <f>AND(#REF!,"AAAAADf/7zQ=")</f>
        <v>#REF!</v>
      </c>
      <c r="BB54" t="e">
        <f>AND(#REF!,"AAAAADf/7zU=")</f>
        <v>#REF!</v>
      </c>
      <c r="BC54" t="e">
        <f>AND(#REF!,"AAAAADf/7zY=")</f>
        <v>#REF!</v>
      </c>
      <c r="BD54" t="e">
        <f>AND(#REF!,"AAAAADf/7zc=")</f>
        <v>#REF!</v>
      </c>
      <c r="BE54" t="e">
        <f>AND(#REF!,"AAAAADf/7zg=")</f>
        <v>#REF!</v>
      </c>
      <c r="BF54" t="e">
        <f>AND(#REF!,"AAAAADf/7zk=")</f>
        <v>#REF!</v>
      </c>
      <c r="BG54" t="e">
        <f>AND(#REF!,"AAAAADf/7zo=")</f>
        <v>#REF!</v>
      </c>
      <c r="BH54" t="e">
        <f>AND(#REF!,"AAAAADf/7zs=")</f>
        <v>#REF!</v>
      </c>
      <c r="BI54" t="e">
        <f>AND(#REF!,"AAAAADf/7zw=")</f>
        <v>#REF!</v>
      </c>
      <c r="BJ54" t="e">
        <f>AND(#REF!,"AAAAADf/7z0=")</f>
        <v>#REF!</v>
      </c>
      <c r="BK54" t="e">
        <f>AND(#REF!,"AAAAADf/7z4=")</f>
        <v>#REF!</v>
      </c>
      <c r="BL54" t="e">
        <f>AND(#REF!,"AAAAADf/7z8=")</f>
        <v>#REF!</v>
      </c>
      <c r="BM54" t="e">
        <f>AND(#REF!,"AAAAADf/70A=")</f>
        <v>#REF!</v>
      </c>
      <c r="BN54" t="e">
        <f>IF(#REF!,"AAAAADf/70E=",0)</f>
        <v>#REF!</v>
      </c>
      <c r="BO54" t="e">
        <f>AND(#REF!,"AAAAADf/70I=")</f>
        <v>#REF!</v>
      </c>
      <c r="BP54" t="e">
        <f>AND(#REF!,"AAAAADf/70M=")</f>
        <v>#REF!</v>
      </c>
      <c r="BQ54" t="e">
        <f>AND(#REF!,"AAAAADf/70Q=")</f>
        <v>#REF!</v>
      </c>
      <c r="BR54" t="e">
        <f>AND(#REF!,"AAAAADf/70U=")</f>
        <v>#REF!</v>
      </c>
      <c r="BS54" t="e">
        <f>AND(#REF!,"AAAAADf/70Y=")</f>
        <v>#REF!</v>
      </c>
      <c r="BT54" t="e">
        <f>AND(#REF!,"AAAAADf/70c=")</f>
        <v>#REF!</v>
      </c>
      <c r="BU54" t="e">
        <f>AND(#REF!,"AAAAADf/70g=")</f>
        <v>#REF!</v>
      </c>
      <c r="BV54" t="e">
        <f>AND(#REF!,"AAAAADf/70k=")</f>
        <v>#REF!</v>
      </c>
      <c r="BW54" t="e">
        <f>AND(#REF!,"AAAAADf/70o=")</f>
        <v>#REF!</v>
      </c>
      <c r="BX54" t="e">
        <f>AND(#REF!,"AAAAADf/70s=")</f>
        <v>#REF!</v>
      </c>
      <c r="BY54" t="e">
        <f>AND(#REF!,"AAAAADf/70w=")</f>
        <v>#REF!</v>
      </c>
      <c r="BZ54" t="e">
        <f>AND(#REF!,"AAAAADf/700=")</f>
        <v>#REF!</v>
      </c>
      <c r="CA54" t="e">
        <f>AND(#REF!,"AAAAADf/704=")</f>
        <v>#REF!</v>
      </c>
      <c r="CB54" t="e">
        <f>AND(#REF!,"AAAAADf/708=")</f>
        <v>#REF!</v>
      </c>
      <c r="CC54" t="e">
        <f>AND(#REF!,"AAAAADf/71A=")</f>
        <v>#REF!</v>
      </c>
      <c r="CD54" t="e">
        <f>AND(#REF!,"AAAAADf/71E=")</f>
        <v>#REF!</v>
      </c>
      <c r="CE54" t="e">
        <f>IF(#REF!,"AAAAADf/71I=",0)</f>
        <v>#REF!</v>
      </c>
      <c r="CF54" t="e">
        <f>AND(#REF!,"AAAAADf/71M=")</f>
        <v>#REF!</v>
      </c>
      <c r="CG54" t="e">
        <f>AND(#REF!,"AAAAADf/71Q=")</f>
        <v>#REF!</v>
      </c>
      <c r="CH54" t="e">
        <f>AND(#REF!,"AAAAADf/71U=")</f>
        <v>#REF!</v>
      </c>
      <c r="CI54" t="e">
        <f>AND(#REF!,"AAAAADf/71Y=")</f>
        <v>#REF!</v>
      </c>
      <c r="CJ54" t="e">
        <f>AND(#REF!,"AAAAADf/71c=")</f>
        <v>#REF!</v>
      </c>
      <c r="CK54" t="e">
        <f>AND(#REF!,"AAAAADf/71g=")</f>
        <v>#REF!</v>
      </c>
      <c r="CL54" t="e">
        <f>AND(#REF!,"AAAAADf/71k=")</f>
        <v>#REF!</v>
      </c>
      <c r="CM54" t="e">
        <f>AND(#REF!,"AAAAADf/71o=")</f>
        <v>#REF!</v>
      </c>
      <c r="CN54" t="e">
        <f>AND(#REF!,"AAAAADf/71s=")</f>
        <v>#REF!</v>
      </c>
      <c r="CO54" t="e">
        <f>AND(#REF!,"AAAAADf/71w=")</f>
        <v>#REF!</v>
      </c>
      <c r="CP54" t="e">
        <f>AND(#REF!,"AAAAADf/710=")</f>
        <v>#REF!</v>
      </c>
      <c r="CQ54" t="e">
        <f>AND(#REF!,"AAAAADf/714=")</f>
        <v>#REF!</v>
      </c>
      <c r="CR54" t="e">
        <f>AND(#REF!,"AAAAADf/718=")</f>
        <v>#REF!</v>
      </c>
      <c r="CS54" t="e">
        <f>AND(#REF!,"AAAAADf/72A=")</f>
        <v>#REF!</v>
      </c>
      <c r="CT54" t="e">
        <f>AND(#REF!,"AAAAADf/72E=")</f>
        <v>#REF!</v>
      </c>
      <c r="CU54" t="e">
        <f>AND(#REF!,"AAAAADf/72I=")</f>
        <v>#REF!</v>
      </c>
      <c r="CV54" t="e">
        <f>IF(#REF!,"AAAAADf/72M=",0)</f>
        <v>#REF!</v>
      </c>
      <c r="CW54" t="e">
        <f>AND(#REF!,"AAAAADf/72Q=")</f>
        <v>#REF!</v>
      </c>
      <c r="CX54" t="e">
        <f>AND(#REF!,"AAAAADf/72U=")</f>
        <v>#REF!</v>
      </c>
      <c r="CY54" t="e">
        <f>AND(#REF!,"AAAAADf/72Y=")</f>
        <v>#REF!</v>
      </c>
      <c r="CZ54" t="e">
        <f>AND(#REF!,"AAAAADf/72c=")</f>
        <v>#REF!</v>
      </c>
      <c r="DA54" t="e">
        <f>AND(#REF!,"AAAAADf/72g=")</f>
        <v>#REF!</v>
      </c>
      <c r="DB54" t="e">
        <f>AND(#REF!,"AAAAADf/72k=")</f>
        <v>#REF!</v>
      </c>
      <c r="DC54" t="e">
        <f>AND(#REF!,"AAAAADf/72o=")</f>
        <v>#REF!</v>
      </c>
      <c r="DD54" t="e">
        <f>AND(#REF!,"AAAAADf/72s=")</f>
        <v>#REF!</v>
      </c>
      <c r="DE54" t="e">
        <f>AND(#REF!,"AAAAADf/72w=")</f>
        <v>#REF!</v>
      </c>
      <c r="DF54" t="e">
        <f>AND(#REF!,"AAAAADf/720=")</f>
        <v>#REF!</v>
      </c>
      <c r="DG54" t="e">
        <f>AND(#REF!,"AAAAADf/724=")</f>
        <v>#REF!</v>
      </c>
      <c r="DH54" t="e">
        <f>AND(#REF!,"AAAAADf/728=")</f>
        <v>#REF!</v>
      </c>
      <c r="DI54" t="e">
        <f>AND(#REF!,"AAAAADf/73A=")</f>
        <v>#REF!</v>
      </c>
      <c r="DJ54" t="e">
        <f>AND(#REF!,"AAAAADf/73E=")</f>
        <v>#REF!</v>
      </c>
      <c r="DK54" t="e">
        <f>AND(#REF!,"AAAAADf/73I=")</f>
        <v>#REF!</v>
      </c>
      <c r="DL54" t="e">
        <f>AND(#REF!,"AAAAADf/73M=")</f>
        <v>#REF!</v>
      </c>
      <c r="DM54" t="e">
        <f>IF(#REF!,"AAAAADf/73Q=",0)</f>
        <v>#REF!</v>
      </c>
      <c r="DN54" t="e">
        <f>AND(#REF!,"AAAAADf/73U=")</f>
        <v>#REF!</v>
      </c>
      <c r="DO54" t="e">
        <f>AND(#REF!,"AAAAADf/73Y=")</f>
        <v>#REF!</v>
      </c>
      <c r="DP54" t="e">
        <f>AND(#REF!,"AAAAADf/73c=")</f>
        <v>#REF!</v>
      </c>
      <c r="DQ54" t="e">
        <f>AND(#REF!,"AAAAADf/73g=")</f>
        <v>#REF!</v>
      </c>
      <c r="DR54" t="e">
        <f>AND(#REF!,"AAAAADf/73k=")</f>
        <v>#REF!</v>
      </c>
      <c r="DS54" t="e">
        <f>AND(#REF!,"AAAAADf/73o=")</f>
        <v>#REF!</v>
      </c>
      <c r="DT54" t="e">
        <f>AND(#REF!,"AAAAADf/73s=")</f>
        <v>#REF!</v>
      </c>
      <c r="DU54" t="e">
        <f>AND(#REF!,"AAAAADf/73w=")</f>
        <v>#REF!</v>
      </c>
      <c r="DV54" t="e">
        <f>AND(#REF!,"AAAAADf/730=")</f>
        <v>#REF!</v>
      </c>
      <c r="DW54" t="e">
        <f>AND(#REF!,"AAAAADf/734=")</f>
        <v>#REF!</v>
      </c>
      <c r="DX54" t="e">
        <f>AND(#REF!,"AAAAADf/738=")</f>
        <v>#REF!</v>
      </c>
      <c r="DY54" t="e">
        <f>AND(#REF!,"AAAAADf/74A=")</f>
        <v>#REF!</v>
      </c>
      <c r="DZ54" t="e">
        <f>AND(#REF!,"AAAAADf/74E=")</f>
        <v>#REF!</v>
      </c>
      <c r="EA54" t="e">
        <f>AND(#REF!,"AAAAADf/74I=")</f>
        <v>#REF!</v>
      </c>
      <c r="EB54" t="e">
        <f>AND(#REF!,"AAAAADf/74M=")</f>
        <v>#REF!</v>
      </c>
      <c r="EC54" t="e">
        <f>AND(#REF!,"AAAAADf/74Q=")</f>
        <v>#REF!</v>
      </c>
      <c r="ED54" t="e">
        <f>IF(#REF!,"AAAAADf/74U=",0)</f>
        <v>#REF!</v>
      </c>
      <c r="EE54" t="e">
        <f>AND(#REF!,"AAAAADf/74Y=")</f>
        <v>#REF!</v>
      </c>
      <c r="EF54" t="e">
        <f>AND(#REF!,"AAAAADf/74c=")</f>
        <v>#REF!</v>
      </c>
      <c r="EG54" t="e">
        <f>AND(#REF!,"AAAAADf/74g=")</f>
        <v>#REF!</v>
      </c>
      <c r="EH54" t="e">
        <f>AND(#REF!,"AAAAADf/74k=")</f>
        <v>#REF!</v>
      </c>
      <c r="EI54" t="e">
        <f>AND(#REF!,"AAAAADf/74o=")</f>
        <v>#REF!</v>
      </c>
      <c r="EJ54" t="e">
        <f>AND(#REF!,"AAAAADf/74s=")</f>
        <v>#REF!</v>
      </c>
      <c r="EK54" t="e">
        <f>AND(#REF!,"AAAAADf/74w=")</f>
        <v>#REF!</v>
      </c>
      <c r="EL54" t="e">
        <f>AND(#REF!,"AAAAADf/740=")</f>
        <v>#REF!</v>
      </c>
      <c r="EM54" t="e">
        <f>AND(#REF!,"AAAAADf/744=")</f>
        <v>#REF!</v>
      </c>
      <c r="EN54" t="e">
        <f>AND(#REF!,"AAAAADf/748=")</f>
        <v>#REF!</v>
      </c>
      <c r="EO54" t="e">
        <f>AND(#REF!,"AAAAADf/75A=")</f>
        <v>#REF!</v>
      </c>
      <c r="EP54" t="e">
        <f>AND(#REF!,"AAAAADf/75E=")</f>
        <v>#REF!</v>
      </c>
      <c r="EQ54" t="e">
        <f>AND(#REF!,"AAAAADf/75I=")</f>
        <v>#REF!</v>
      </c>
      <c r="ER54" t="e">
        <f>AND(#REF!,"AAAAADf/75M=")</f>
        <v>#REF!</v>
      </c>
      <c r="ES54" t="e">
        <f>AND(#REF!,"AAAAADf/75Q=")</f>
        <v>#REF!</v>
      </c>
      <c r="ET54" t="e">
        <f>AND(#REF!,"AAAAADf/75U=")</f>
        <v>#REF!</v>
      </c>
      <c r="EU54" t="e">
        <f>IF(#REF!,"AAAAADf/75Y=",0)</f>
        <v>#REF!</v>
      </c>
      <c r="EV54" t="e">
        <f>AND(#REF!,"AAAAADf/75c=")</f>
        <v>#REF!</v>
      </c>
      <c r="EW54" t="e">
        <f>AND(#REF!,"AAAAADf/75g=")</f>
        <v>#REF!</v>
      </c>
      <c r="EX54" t="e">
        <f>AND(#REF!,"AAAAADf/75k=")</f>
        <v>#REF!</v>
      </c>
      <c r="EY54" t="e">
        <f>AND(#REF!,"AAAAADf/75o=")</f>
        <v>#REF!</v>
      </c>
      <c r="EZ54" t="e">
        <f>AND(#REF!,"AAAAADf/75s=")</f>
        <v>#REF!</v>
      </c>
      <c r="FA54" t="e">
        <f>AND(#REF!,"AAAAADf/75w=")</f>
        <v>#REF!</v>
      </c>
      <c r="FB54" t="e">
        <f>AND(#REF!,"AAAAADf/750=")</f>
        <v>#REF!</v>
      </c>
      <c r="FC54" t="e">
        <f>AND(#REF!,"AAAAADf/754=")</f>
        <v>#REF!</v>
      </c>
      <c r="FD54" t="e">
        <f>AND(#REF!,"AAAAADf/758=")</f>
        <v>#REF!</v>
      </c>
      <c r="FE54" t="e">
        <f>AND(#REF!,"AAAAADf/76A=")</f>
        <v>#REF!</v>
      </c>
      <c r="FF54" t="e">
        <f>AND(#REF!,"AAAAADf/76E=")</f>
        <v>#REF!</v>
      </c>
      <c r="FG54" t="e">
        <f>AND(#REF!,"AAAAADf/76I=")</f>
        <v>#REF!</v>
      </c>
      <c r="FH54" t="e">
        <f>AND(#REF!,"AAAAADf/76M=")</f>
        <v>#REF!</v>
      </c>
      <c r="FI54" t="e">
        <f>AND(#REF!,"AAAAADf/76Q=")</f>
        <v>#REF!</v>
      </c>
      <c r="FJ54" t="e">
        <f>AND(#REF!,"AAAAADf/76U=")</f>
        <v>#REF!</v>
      </c>
      <c r="FK54" t="e">
        <f>AND(#REF!,"AAAAADf/76Y=")</f>
        <v>#REF!</v>
      </c>
      <c r="FL54" t="e">
        <f>IF(#REF!,"AAAAADf/76c=",0)</f>
        <v>#REF!</v>
      </c>
      <c r="FM54" t="e">
        <f>AND(#REF!,"AAAAADf/76g=")</f>
        <v>#REF!</v>
      </c>
      <c r="FN54" t="e">
        <f>AND(#REF!,"AAAAADf/76k=")</f>
        <v>#REF!</v>
      </c>
      <c r="FO54" t="e">
        <f>AND(#REF!,"AAAAADf/76o=")</f>
        <v>#REF!</v>
      </c>
      <c r="FP54" t="e">
        <f>AND(#REF!,"AAAAADf/76s=")</f>
        <v>#REF!</v>
      </c>
      <c r="FQ54" t="e">
        <f>AND(#REF!,"AAAAADf/76w=")</f>
        <v>#REF!</v>
      </c>
      <c r="FR54" t="e">
        <f>AND(#REF!,"AAAAADf/760=")</f>
        <v>#REF!</v>
      </c>
      <c r="FS54" t="e">
        <f>AND(#REF!,"AAAAADf/764=")</f>
        <v>#REF!</v>
      </c>
      <c r="FT54" t="e">
        <f>AND(#REF!,"AAAAADf/768=")</f>
        <v>#REF!</v>
      </c>
      <c r="FU54" t="e">
        <f>AND(#REF!,"AAAAADf/77A=")</f>
        <v>#REF!</v>
      </c>
      <c r="FV54" t="e">
        <f>AND(#REF!,"AAAAADf/77E=")</f>
        <v>#REF!</v>
      </c>
      <c r="FW54" t="e">
        <f>AND(#REF!,"AAAAADf/77I=")</f>
        <v>#REF!</v>
      </c>
      <c r="FX54" t="e">
        <f>AND(#REF!,"AAAAADf/77M=")</f>
        <v>#REF!</v>
      </c>
      <c r="FY54" t="e">
        <f>AND(#REF!,"AAAAADf/77Q=")</f>
        <v>#REF!</v>
      </c>
      <c r="FZ54" t="e">
        <f>AND(#REF!,"AAAAADf/77U=")</f>
        <v>#REF!</v>
      </c>
      <c r="GA54" t="e">
        <f>AND(#REF!,"AAAAADf/77Y=")</f>
        <v>#REF!</v>
      </c>
      <c r="GB54" t="e">
        <f>AND(#REF!,"AAAAADf/77c=")</f>
        <v>#REF!</v>
      </c>
      <c r="GC54" t="e">
        <f>IF(#REF!,"AAAAADf/77g=",0)</f>
        <v>#REF!</v>
      </c>
      <c r="GD54" t="e">
        <f>AND(#REF!,"AAAAADf/77k=")</f>
        <v>#REF!</v>
      </c>
      <c r="GE54" t="e">
        <f>AND(#REF!,"AAAAADf/77o=")</f>
        <v>#REF!</v>
      </c>
      <c r="GF54" t="e">
        <f>AND(#REF!,"AAAAADf/77s=")</f>
        <v>#REF!</v>
      </c>
      <c r="GG54" t="e">
        <f>AND(#REF!,"AAAAADf/77w=")</f>
        <v>#REF!</v>
      </c>
      <c r="GH54" t="e">
        <f>AND(#REF!,"AAAAADf/770=")</f>
        <v>#REF!</v>
      </c>
      <c r="GI54" t="e">
        <f>AND(#REF!,"AAAAADf/774=")</f>
        <v>#REF!</v>
      </c>
      <c r="GJ54" t="e">
        <f>AND(#REF!,"AAAAADf/778=")</f>
        <v>#REF!</v>
      </c>
      <c r="GK54" t="e">
        <f>AND(#REF!,"AAAAADf/78A=")</f>
        <v>#REF!</v>
      </c>
      <c r="GL54" t="e">
        <f>AND(#REF!,"AAAAADf/78E=")</f>
        <v>#REF!</v>
      </c>
      <c r="GM54" t="e">
        <f>AND(#REF!,"AAAAADf/78I=")</f>
        <v>#REF!</v>
      </c>
      <c r="GN54" t="e">
        <f>AND(#REF!,"AAAAADf/78M=")</f>
        <v>#REF!</v>
      </c>
      <c r="GO54" t="e">
        <f>AND(#REF!,"AAAAADf/78Q=")</f>
        <v>#REF!</v>
      </c>
      <c r="GP54" t="e">
        <f>AND(#REF!,"AAAAADf/78U=")</f>
        <v>#REF!</v>
      </c>
      <c r="GQ54" t="e">
        <f>AND(#REF!,"AAAAADf/78Y=")</f>
        <v>#REF!</v>
      </c>
      <c r="GR54" t="e">
        <f>AND(#REF!,"AAAAADf/78c=")</f>
        <v>#REF!</v>
      </c>
      <c r="GS54" t="e">
        <f>AND(#REF!,"AAAAADf/78g=")</f>
        <v>#REF!</v>
      </c>
      <c r="GT54" t="e">
        <f>IF(#REF!,"AAAAADf/78k=",0)</f>
        <v>#REF!</v>
      </c>
      <c r="GU54" t="e">
        <f>AND(#REF!,"AAAAADf/78o=")</f>
        <v>#REF!</v>
      </c>
      <c r="GV54" t="e">
        <f>AND(#REF!,"AAAAADf/78s=")</f>
        <v>#REF!</v>
      </c>
      <c r="GW54" t="e">
        <f>AND(#REF!,"AAAAADf/78w=")</f>
        <v>#REF!</v>
      </c>
      <c r="GX54" t="e">
        <f>AND(#REF!,"AAAAADf/780=")</f>
        <v>#REF!</v>
      </c>
      <c r="GY54" t="e">
        <f>AND(#REF!,"AAAAADf/784=")</f>
        <v>#REF!</v>
      </c>
      <c r="GZ54" t="e">
        <f>AND(#REF!,"AAAAADf/788=")</f>
        <v>#REF!</v>
      </c>
      <c r="HA54" t="e">
        <f>AND(#REF!,"AAAAADf/79A=")</f>
        <v>#REF!</v>
      </c>
      <c r="HB54" t="e">
        <f>AND(#REF!,"AAAAADf/79E=")</f>
        <v>#REF!</v>
      </c>
      <c r="HC54" t="e">
        <f>AND(#REF!,"AAAAADf/79I=")</f>
        <v>#REF!</v>
      </c>
      <c r="HD54" t="e">
        <f>AND(#REF!,"AAAAADf/79M=")</f>
        <v>#REF!</v>
      </c>
      <c r="HE54" t="e">
        <f>AND(#REF!,"AAAAADf/79Q=")</f>
        <v>#REF!</v>
      </c>
      <c r="HF54" t="e">
        <f>AND(#REF!,"AAAAADf/79U=")</f>
        <v>#REF!</v>
      </c>
      <c r="HG54" t="e">
        <f>AND(#REF!,"AAAAADf/79Y=")</f>
        <v>#REF!</v>
      </c>
      <c r="HH54" t="e">
        <f>AND(#REF!,"AAAAADf/79c=")</f>
        <v>#REF!</v>
      </c>
      <c r="HI54" t="e">
        <f>AND(#REF!,"AAAAADf/79g=")</f>
        <v>#REF!</v>
      </c>
      <c r="HJ54" t="e">
        <f>AND(#REF!,"AAAAADf/79k=")</f>
        <v>#REF!</v>
      </c>
      <c r="HK54" t="e">
        <f>IF(#REF!,"AAAAADf/79o=",0)</f>
        <v>#REF!</v>
      </c>
      <c r="HL54" t="e">
        <f>AND(#REF!,"AAAAADf/79s=")</f>
        <v>#REF!</v>
      </c>
      <c r="HM54" t="e">
        <f>AND(#REF!,"AAAAADf/79w=")</f>
        <v>#REF!</v>
      </c>
      <c r="HN54" t="e">
        <f>AND(#REF!,"AAAAADf/790=")</f>
        <v>#REF!</v>
      </c>
      <c r="HO54" t="e">
        <f>AND(#REF!,"AAAAADf/794=")</f>
        <v>#REF!</v>
      </c>
      <c r="HP54" t="e">
        <f>AND(#REF!,"AAAAADf/798=")</f>
        <v>#REF!</v>
      </c>
      <c r="HQ54" t="e">
        <f>AND(#REF!,"AAAAADf/7+A=")</f>
        <v>#REF!</v>
      </c>
      <c r="HR54" t="e">
        <f>AND(#REF!,"AAAAADf/7+E=")</f>
        <v>#REF!</v>
      </c>
      <c r="HS54" t="e">
        <f>AND(#REF!,"AAAAADf/7+I=")</f>
        <v>#REF!</v>
      </c>
      <c r="HT54" t="e">
        <f>AND(#REF!,"AAAAADf/7+M=")</f>
        <v>#REF!</v>
      </c>
      <c r="HU54" t="e">
        <f>AND(#REF!,"AAAAADf/7+Q=")</f>
        <v>#REF!</v>
      </c>
      <c r="HV54" t="e">
        <f>AND(#REF!,"AAAAADf/7+U=")</f>
        <v>#REF!</v>
      </c>
      <c r="HW54" t="e">
        <f>AND(#REF!,"AAAAADf/7+Y=")</f>
        <v>#REF!</v>
      </c>
      <c r="HX54" t="e">
        <f>AND(#REF!,"AAAAADf/7+c=")</f>
        <v>#REF!</v>
      </c>
      <c r="HY54" t="e">
        <f>AND(#REF!,"AAAAADf/7+g=")</f>
        <v>#REF!</v>
      </c>
      <c r="HZ54" t="e">
        <f>AND(#REF!,"AAAAADf/7+k=")</f>
        <v>#REF!</v>
      </c>
      <c r="IA54" t="e">
        <f>AND(#REF!,"AAAAADf/7+o=")</f>
        <v>#REF!</v>
      </c>
      <c r="IB54" t="e">
        <f>IF(#REF!,"AAAAADf/7+s=",0)</f>
        <v>#REF!</v>
      </c>
      <c r="IC54" t="e">
        <f>AND(#REF!,"AAAAADf/7+w=")</f>
        <v>#REF!</v>
      </c>
      <c r="ID54" t="e">
        <f>AND(#REF!,"AAAAADf/7+0=")</f>
        <v>#REF!</v>
      </c>
      <c r="IE54" t="e">
        <f>AND(#REF!,"AAAAADf/7+4=")</f>
        <v>#REF!</v>
      </c>
      <c r="IF54" t="e">
        <f>AND(#REF!,"AAAAADf/7+8=")</f>
        <v>#REF!</v>
      </c>
      <c r="IG54" t="e">
        <f>AND(#REF!,"AAAAADf/7/A=")</f>
        <v>#REF!</v>
      </c>
      <c r="IH54" t="e">
        <f>AND(#REF!,"AAAAADf/7/E=")</f>
        <v>#REF!</v>
      </c>
      <c r="II54" t="e">
        <f>AND(#REF!,"AAAAADf/7/I=")</f>
        <v>#REF!</v>
      </c>
      <c r="IJ54" t="e">
        <f>AND(#REF!,"AAAAADf/7/M=")</f>
        <v>#REF!</v>
      </c>
      <c r="IK54" t="e">
        <f>AND(#REF!,"AAAAADf/7/Q=")</f>
        <v>#REF!</v>
      </c>
      <c r="IL54" t="e">
        <f>AND(#REF!,"AAAAADf/7/U=")</f>
        <v>#REF!</v>
      </c>
      <c r="IM54" t="e">
        <f>AND(#REF!,"AAAAADf/7/Y=")</f>
        <v>#REF!</v>
      </c>
      <c r="IN54" t="e">
        <f>AND(#REF!,"AAAAADf/7/c=")</f>
        <v>#REF!</v>
      </c>
      <c r="IO54" t="e">
        <f>AND(#REF!,"AAAAADf/7/g=")</f>
        <v>#REF!</v>
      </c>
      <c r="IP54" t="e">
        <f>AND(#REF!,"AAAAADf/7/k=")</f>
        <v>#REF!</v>
      </c>
      <c r="IQ54" t="e">
        <f>AND(#REF!,"AAAAADf/7/o=")</f>
        <v>#REF!</v>
      </c>
      <c r="IR54" t="e">
        <f>AND(#REF!,"AAAAADf/7/s=")</f>
        <v>#REF!</v>
      </c>
      <c r="IS54" t="e">
        <f>IF(#REF!,"AAAAADf/7/w=",0)</f>
        <v>#REF!</v>
      </c>
      <c r="IT54" t="e">
        <f>AND(#REF!,"AAAAADf/7/0=")</f>
        <v>#REF!</v>
      </c>
      <c r="IU54" t="e">
        <f>AND(#REF!,"AAAAADf/7/4=")</f>
        <v>#REF!</v>
      </c>
      <c r="IV54" t="e">
        <f>AND(#REF!,"AAAAADf/7/8=")</f>
        <v>#REF!</v>
      </c>
    </row>
    <row r="55" spans="1:256" x14ac:dyDescent="0.25">
      <c r="A55" t="e">
        <f>AND(#REF!,"AAAAAG3fewA=")</f>
        <v>#REF!</v>
      </c>
      <c r="B55" t="e">
        <f>AND(#REF!,"AAAAAG3fewE=")</f>
        <v>#REF!</v>
      </c>
      <c r="C55" t="e">
        <f>AND(#REF!,"AAAAAG3fewI=")</f>
        <v>#REF!</v>
      </c>
      <c r="D55" t="e">
        <f>AND(#REF!,"AAAAAG3fewM=")</f>
        <v>#REF!</v>
      </c>
      <c r="E55" t="e">
        <f>AND(#REF!,"AAAAAG3fewQ=")</f>
        <v>#REF!</v>
      </c>
      <c r="F55" t="e">
        <f>AND(#REF!,"AAAAAG3fewU=")</f>
        <v>#REF!</v>
      </c>
      <c r="G55" t="e">
        <f>AND(#REF!,"AAAAAG3fewY=")</f>
        <v>#REF!</v>
      </c>
      <c r="H55" t="e">
        <f>AND(#REF!,"AAAAAG3fewc=")</f>
        <v>#REF!</v>
      </c>
      <c r="I55" t="e">
        <f>AND(#REF!,"AAAAAG3fewg=")</f>
        <v>#REF!</v>
      </c>
      <c r="J55" t="e">
        <f>AND(#REF!,"AAAAAG3fewk=")</f>
        <v>#REF!</v>
      </c>
      <c r="K55" t="e">
        <f>AND(#REF!,"AAAAAG3fewo=")</f>
        <v>#REF!</v>
      </c>
      <c r="L55" t="e">
        <f>AND(#REF!,"AAAAAG3fews=")</f>
        <v>#REF!</v>
      </c>
      <c r="M55" t="e">
        <f>AND(#REF!,"AAAAAG3feww=")</f>
        <v>#REF!</v>
      </c>
      <c r="N55" t="e">
        <f>IF(#REF!,"AAAAAG3few0=",0)</f>
        <v>#REF!</v>
      </c>
      <c r="O55" t="e">
        <f>AND(#REF!,"AAAAAG3few4=")</f>
        <v>#REF!</v>
      </c>
      <c r="P55" t="e">
        <f>AND(#REF!,"AAAAAG3few8=")</f>
        <v>#REF!</v>
      </c>
      <c r="Q55" t="e">
        <f>AND(#REF!,"AAAAAG3fexA=")</f>
        <v>#REF!</v>
      </c>
      <c r="R55" t="e">
        <f>AND(#REF!,"AAAAAG3fexE=")</f>
        <v>#REF!</v>
      </c>
      <c r="S55" t="e">
        <f>AND(#REF!,"AAAAAG3fexI=")</f>
        <v>#REF!</v>
      </c>
      <c r="T55" t="e">
        <f>AND(#REF!,"AAAAAG3fexM=")</f>
        <v>#REF!</v>
      </c>
      <c r="U55" t="e">
        <f>AND(#REF!,"AAAAAG3fexQ=")</f>
        <v>#REF!</v>
      </c>
      <c r="V55" t="e">
        <f>AND(#REF!,"AAAAAG3fexU=")</f>
        <v>#REF!</v>
      </c>
      <c r="W55" t="e">
        <f>AND(#REF!,"AAAAAG3fexY=")</f>
        <v>#REF!</v>
      </c>
      <c r="X55" t="e">
        <f>AND(#REF!,"AAAAAG3fexc=")</f>
        <v>#REF!</v>
      </c>
      <c r="Y55" t="e">
        <f>AND(#REF!,"AAAAAG3fexg=")</f>
        <v>#REF!</v>
      </c>
      <c r="Z55" t="e">
        <f>AND(#REF!,"AAAAAG3fexk=")</f>
        <v>#REF!</v>
      </c>
      <c r="AA55" t="e">
        <f>AND(#REF!,"AAAAAG3fexo=")</f>
        <v>#REF!</v>
      </c>
      <c r="AB55" t="e">
        <f>AND(#REF!,"AAAAAG3fexs=")</f>
        <v>#REF!</v>
      </c>
      <c r="AC55" t="e">
        <f>AND(#REF!,"AAAAAG3fexw=")</f>
        <v>#REF!</v>
      </c>
      <c r="AD55" t="e">
        <f>AND(#REF!,"AAAAAG3fex0=")</f>
        <v>#REF!</v>
      </c>
      <c r="AE55" t="e">
        <f>IF(#REF!,"AAAAAG3fex4=",0)</f>
        <v>#REF!</v>
      </c>
      <c r="AF55" t="e">
        <f>AND(#REF!,"AAAAAG3fex8=")</f>
        <v>#REF!</v>
      </c>
      <c r="AG55" t="e">
        <f>AND(#REF!,"AAAAAG3feyA=")</f>
        <v>#REF!</v>
      </c>
      <c r="AH55" t="e">
        <f>AND(#REF!,"AAAAAG3feyE=")</f>
        <v>#REF!</v>
      </c>
      <c r="AI55" t="e">
        <f>AND(#REF!,"AAAAAG3feyI=")</f>
        <v>#REF!</v>
      </c>
      <c r="AJ55" t="e">
        <f>AND(#REF!,"AAAAAG3feyM=")</f>
        <v>#REF!</v>
      </c>
      <c r="AK55" t="e">
        <f>AND(#REF!,"AAAAAG3feyQ=")</f>
        <v>#REF!</v>
      </c>
      <c r="AL55" t="e">
        <f>AND(#REF!,"AAAAAG3feyU=")</f>
        <v>#REF!</v>
      </c>
      <c r="AM55" t="e">
        <f>AND(#REF!,"AAAAAG3feyY=")</f>
        <v>#REF!</v>
      </c>
      <c r="AN55" t="e">
        <f>AND(#REF!,"AAAAAG3feyc=")</f>
        <v>#REF!</v>
      </c>
      <c r="AO55" t="e">
        <f>AND(#REF!,"AAAAAG3feyg=")</f>
        <v>#REF!</v>
      </c>
      <c r="AP55" t="e">
        <f>AND(#REF!,"AAAAAG3feyk=")</f>
        <v>#REF!</v>
      </c>
      <c r="AQ55" t="e">
        <f>AND(#REF!,"AAAAAG3feyo=")</f>
        <v>#REF!</v>
      </c>
      <c r="AR55" t="e">
        <f>AND(#REF!,"AAAAAG3feys=")</f>
        <v>#REF!</v>
      </c>
      <c r="AS55" t="e">
        <f>AND(#REF!,"AAAAAG3feyw=")</f>
        <v>#REF!</v>
      </c>
      <c r="AT55" t="e">
        <f>AND(#REF!,"AAAAAG3fey0=")</f>
        <v>#REF!</v>
      </c>
      <c r="AU55" t="e">
        <f>AND(#REF!,"AAAAAG3fey4=")</f>
        <v>#REF!</v>
      </c>
      <c r="AV55" t="e">
        <f>IF(#REF!,"AAAAAG3fey8=",0)</f>
        <v>#REF!</v>
      </c>
      <c r="AW55" t="e">
        <f>AND(#REF!,"AAAAAG3fezA=")</f>
        <v>#REF!</v>
      </c>
      <c r="AX55" t="e">
        <f>AND(#REF!,"AAAAAG3fezE=")</f>
        <v>#REF!</v>
      </c>
      <c r="AY55" t="e">
        <f>AND(#REF!,"AAAAAG3fezI=")</f>
        <v>#REF!</v>
      </c>
      <c r="AZ55" t="e">
        <f>AND(#REF!,"AAAAAG3fezM=")</f>
        <v>#REF!</v>
      </c>
      <c r="BA55" t="e">
        <f>AND(#REF!,"AAAAAG3fezQ=")</f>
        <v>#REF!</v>
      </c>
      <c r="BB55" t="e">
        <f>AND(#REF!,"AAAAAG3fezU=")</f>
        <v>#REF!</v>
      </c>
      <c r="BC55" t="e">
        <f>AND(#REF!,"AAAAAG3fezY=")</f>
        <v>#REF!</v>
      </c>
      <c r="BD55" t="e">
        <f>AND(#REF!,"AAAAAG3fezc=")</f>
        <v>#REF!</v>
      </c>
      <c r="BE55" t="e">
        <f>AND(#REF!,"AAAAAG3fezg=")</f>
        <v>#REF!</v>
      </c>
      <c r="BF55" t="e">
        <f>AND(#REF!,"AAAAAG3fezk=")</f>
        <v>#REF!</v>
      </c>
      <c r="BG55" t="e">
        <f>AND(#REF!,"AAAAAG3fezo=")</f>
        <v>#REF!</v>
      </c>
      <c r="BH55" t="e">
        <f>AND(#REF!,"AAAAAG3fezs=")</f>
        <v>#REF!</v>
      </c>
      <c r="BI55" t="e">
        <f>AND(#REF!,"AAAAAG3fezw=")</f>
        <v>#REF!</v>
      </c>
      <c r="BJ55" t="e">
        <f>AND(#REF!,"AAAAAG3fez0=")</f>
        <v>#REF!</v>
      </c>
      <c r="BK55" t="e">
        <f>AND(#REF!,"AAAAAG3fez4=")</f>
        <v>#REF!</v>
      </c>
      <c r="BL55" t="e">
        <f>AND(#REF!,"AAAAAG3fez8=")</f>
        <v>#REF!</v>
      </c>
      <c r="BM55" t="e">
        <f>IF(#REF!,"AAAAAG3fe0A=",0)</f>
        <v>#REF!</v>
      </c>
      <c r="BN55" t="e">
        <f>AND(#REF!,"AAAAAG3fe0E=")</f>
        <v>#REF!</v>
      </c>
      <c r="BO55" t="e">
        <f>AND(#REF!,"AAAAAG3fe0I=")</f>
        <v>#REF!</v>
      </c>
      <c r="BP55" t="e">
        <f>AND(#REF!,"AAAAAG3fe0M=")</f>
        <v>#REF!</v>
      </c>
      <c r="BQ55" t="e">
        <f>AND(#REF!,"AAAAAG3fe0Q=")</f>
        <v>#REF!</v>
      </c>
      <c r="BR55" t="e">
        <f>AND(#REF!,"AAAAAG3fe0U=")</f>
        <v>#REF!</v>
      </c>
      <c r="BS55" t="e">
        <f>AND(#REF!,"AAAAAG3fe0Y=")</f>
        <v>#REF!</v>
      </c>
      <c r="BT55" t="e">
        <f>AND(#REF!,"AAAAAG3fe0c=")</f>
        <v>#REF!</v>
      </c>
      <c r="BU55" t="e">
        <f>AND(#REF!,"AAAAAG3fe0g=")</f>
        <v>#REF!</v>
      </c>
      <c r="BV55" t="e">
        <f>AND(#REF!,"AAAAAG3fe0k=")</f>
        <v>#REF!</v>
      </c>
      <c r="BW55" t="e">
        <f>AND(#REF!,"AAAAAG3fe0o=")</f>
        <v>#REF!</v>
      </c>
      <c r="BX55" t="e">
        <f>AND(#REF!,"AAAAAG3fe0s=")</f>
        <v>#REF!</v>
      </c>
      <c r="BY55" t="e">
        <f>AND(#REF!,"AAAAAG3fe0w=")</f>
        <v>#REF!</v>
      </c>
      <c r="BZ55" t="e">
        <f>AND(#REF!,"AAAAAG3fe00=")</f>
        <v>#REF!</v>
      </c>
      <c r="CA55" t="e">
        <f>AND(#REF!,"AAAAAG3fe04=")</f>
        <v>#REF!</v>
      </c>
      <c r="CB55" t="e">
        <f>AND(#REF!,"AAAAAG3fe08=")</f>
        <v>#REF!</v>
      </c>
      <c r="CC55" t="e">
        <f>AND(#REF!,"AAAAAG3fe1A=")</f>
        <v>#REF!</v>
      </c>
      <c r="CD55" t="e">
        <f>IF(#REF!,"AAAAAG3fe1E=",0)</f>
        <v>#REF!</v>
      </c>
      <c r="CE55" t="e">
        <f>AND(#REF!,"AAAAAG3fe1I=")</f>
        <v>#REF!</v>
      </c>
      <c r="CF55" t="e">
        <f>AND(#REF!,"AAAAAG3fe1M=")</f>
        <v>#REF!</v>
      </c>
      <c r="CG55" t="e">
        <f>AND(#REF!,"AAAAAG3fe1Q=")</f>
        <v>#REF!</v>
      </c>
      <c r="CH55" t="e">
        <f>AND(#REF!,"AAAAAG3fe1U=")</f>
        <v>#REF!</v>
      </c>
      <c r="CI55" t="e">
        <f>AND(#REF!,"AAAAAG3fe1Y=")</f>
        <v>#REF!</v>
      </c>
      <c r="CJ55" t="e">
        <f>AND(#REF!,"AAAAAG3fe1c=")</f>
        <v>#REF!</v>
      </c>
      <c r="CK55" t="e">
        <f>AND(#REF!,"AAAAAG3fe1g=")</f>
        <v>#REF!</v>
      </c>
      <c r="CL55" t="e">
        <f>AND(#REF!,"AAAAAG3fe1k=")</f>
        <v>#REF!</v>
      </c>
      <c r="CM55" t="e">
        <f>AND(#REF!,"AAAAAG3fe1o=")</f>
        <v>#REF!</v>
      </c>
      <c r="CN55" t="e">
        <f>AND(#REF!,"AAAAAG3fe1s=")</f>
        <v>#REF!</v>
      </c>
      <c r="CO55" t="e">
        <f>AND(#REF!,"AAAAAG3fe1w=")</f>
        <v>#REF!</v>
      </c>
      <c r="CP55" t="e">
        <f>AND(#REF!,"AAAAAG3fe10=")</f>
        <v>#REF!</v>
      </c>
      <c r="CQ55" t="e">
        <f>AND(#REF!,"AAAAAG3fe14=")</f>
        <v>#REF!</v>
      </c>
      <c r="CR55" t="e">
        <f>AND(#REF!,"AAAAAG3fe18=")</f>
        <v>#REF!</v>
      </c>
      <c r="CS55" t="e">
        <f>AND(#REF!,"AAAAAG3fe2A=")</f>
        <v>#REF!</v>
      </c>
      <c r="CT55" t="e">
        <f>AND(#REF!,"AAAAAG3fe2E=")</f>
        <v>#REF!</v>
      </c>
      <c r="CU55" t="e">
        <f>IF(#REF!,"AAAAAG3fe2I=",0)</f>
        <v>#REF!</v>
      </c>
      <c r="CV55" t="e">
        <f>AND(#REF!,"AAAAAG3fe2M=")</f>
        <v>#REF!</v>
      </c>
      <c r="CW55" t="e">
        <f>AND(#REF!,"AAAAAG3fe2Q=")</f>
        <v>#REF!</v>
      </c>
      <c r="CX55" t="e">
        <f>AND(#REF!,"AAAAAG3fe2U=")</f>
        <v>#REF!</v>
      </c>
      <c r="CY55" t="e">
        <f>AND(#REF!,"AAAAAG3fe2Y=")</f>
        <v>#REF!</v>
      </c>
      <c r="CZ55" t="e">
        <f>AND(#REF!,"AAAAAG3fe2c=")</f>
        <v>#REF!</v>
      </c>
      <c r="DA55" t="e">
        <f>AND(#REF!,"AAAAAG3fe2g=")</f>
        <v>#REF!</v>
      </c>
      <c r="DB55" t="e">
        <f>AND(#REF!,"AAAAAG3fe2k=")</f>
        <v>#REF!</v>
      </c>
      <c r="DC55" t="e">
        <f>AND(#REF!,"AAAAAG3fe2o=")</f>
        <v>#REF!</v>
      </c>
      <c r="DD55" t="e">
        <f>AND(#REF!,"AAAAAG3fe2s=")</f>
        <v>#REF!</v>
      </c>
      <c r="DE55" t="e">
        <f>AND(#REF!,"AAAAAG3fe2w=")</f>
        <v>#REF!</v>
      </c>
      <c r="DF55" t="e">
        <f>AND(#REF!,"AAAAAG3fe20=")</f>
        <v>#REF!</v>
      </c>
      <c r="DG55" t="e">
        <f>AND(#REF!,"AAAAAG3fe24=")</f>
        <v>#REF!</v>
      </c>
      <c r="DH55" t="e">
        <f>AND(#REF!,"AAAAAG3fe28=")</f>
        <v>#REF!</v>
      </c>
      <c r="DI55" t="e">
        <f>AND(#REF!,"AAAAAG3fe3A=")</f>
        <v>#REF!</v>
      </c>
      <c r="DJ55" t="e">
        <f>AND(#REF!,"AAAAAG3fe3E=")</f>
        <v>#REF!</v>
      </c>
      <c r="DK55" t="e">
        <f>AND(#REF!,"AAAAAG3fe3I=")</f>
        <v>#REF!</v>
      </c>
      <c r="DL55" t="e">
        <f>IF(#REF!,"AAAAAG3fe3M=",0)</f>
        <v>#REF!</v>
      </c>
      <c r="DM55" t="e">
        <f>AND(#REF!,"AAAAAG3fe3Q=")</f>
        <v>#REF!</v>
      </c>
      <c r="DN55" t="e">
        <f>AND(#REF!,"AAAAAG3fe3U=")</f>
        <v>#REF!</v>
      </c>
      <c r="DO55" t="e">
        <f>AND(#REF!,"AAAAAG3fe3Y=")</f>
        <v>#REF!</v>
      </c>
      <c r="DP55" t="e">
        <f>AND(#REF!,"AAAAAG3fe3c=")</f>
        <v>#REF!</v>
      </c>
      <c r="DQ55" t="e">
        <f>AND(#REF!,"AAAAAG3fe3g=")</f>
        <v>#REF!</v>
      </c>
      <c r="DR55" t="e">
        <f>AND(#REF!,"AAAAAG3fe3k=")</f>
        <v>#REF!</v>
      </c>
      <c r="DS55" t="e">
        <f>AND(#REF!,"AAAAAG3fe3o=")</f>
        <v>#REF!</v>
      </c>
      <c r="DT55" t="e">
        <f>AND(#REF!,"AAAAAG3fe3s=")</f>
        <v>#REF!</v>
      </c>
      <c r="DU55" t="e">
        <f>AND(#REF!,"AAAAAG3fe3w=")</f>
        <v>#REF!</v>
      </c>
      <c r="DV55" t="e">
        <f>AND(#REF!,"AAAAAG3fe30=")</f>
        <v>#REF!</v>
      </c>
      <c r="DW55" t="e">
        <f>AND(#REF!,"AAAAAG3fe34=")</f>
        <v>#REF!</v>
      </c>
      <c r="DX55" t="e">
        <f>AND(#REF!,"AAAAAG3fe38=")</f>
        <v>#REF!</v>
      </c>
      <c r="DY55" t="e">
        <f>AND(#REF!,"AAAAAG3fe4A=")</f>
        <v>#REF!</v>
      </c>
      <c r="DZ55" t="e">
        <f>AND(#REF!,"AAAAAG3fe4E=")</f>
        <v>#REF!</v>
      </c>
      <c r="EA55" t="e">
        <f>AND(#REF!,"AAAAAG3fe4I=")</f>
        <v>#REF!</v>
      </c>
      <c r="EB55" t="e">
        <f>AND(#REF!,"AAAAAG3fe4M=")</f>
        <v>#REF!</v>
      </c>
      <c r="EC55" t="e">
        <f>IF(#REF!,"AAAAAG3fe4Q=",0)</f>
        <v>#REF!</v>
      </c>
      <c r="ED55" t="e">
        <f>AND(#REF!,"AAAAAG3fe4U=")</f>
        <v>#REF!</v>
      </c>
      <c r="EE55" t="e">
        <f>AND(#REF!,"AAAAAG3fe4Y=")</f>
        <v>#REF!</v>
      </c>
      <c r="EF55" t="e">
        <f>AND(#REF!,"AAAAAG3fe4c=")</f>
        <v>#REF!</v>
      </c>
      <c r="EG55" t="e">
        <f>AND(#REF!,"AAAAAG3fe4g=")</f>
        <v>#REF!</v>
      </c>
      <c r="EH55" t="e">
        <f>AND(#REF!,"AAAAAG3fe4k=")</f>
        <v>#REF!</v>
      </c>
      <c r="EI55" t="e">
        <f>AND(#REF!,"AAAAAG3fe4o=")</f>
        <v>#REF!</v>
      </c>
      <c r="EJ55" t="e">
        <f>AND(#REF!,"AAAAAG3fe4s=")</f>
        <v>#REF!</v>
      </c>
      <c r="EK55" t="e">
        <f>AND(#REF!,"AAAAAG3fe4w=")</f>
        <v>#REF!</v>
      </c>
      <c r="EL55" t="e">
        <f>AND(#REF!,"AAAAAG3fe40=")</f>
        <v>#REF!</v>
      </c>
      <c r="EM55" t="e">
        <f>AND(#REF!,"AAAAAG3fe44=")</f>
        <v>#REF!</v>
      </c>
      <c r="EN55" t="e">
        <f>AND(#REF!,"AAAAAG3fe48=")</f>
        <v>#REF!</v>
      </c>
      <c r="EO55" t="e">
        <f>AND(#REF!,"AAAAAG3fe5A=")</f>
        <v>#REF!</v>
      </c>
      <c r="EP55" t="e">
        <f>AND(#REF!,"AAAAAG3fe5E=")</f>
        <v>#REF!</v>
      </c>
      <c r="EQ55" t="e">
        <f>AND(#REF!,"AAAAAG3fe5I=")</f>
        <v>#REF!</v>
      </c>
      <c r="ER55" t="e">
        <f>AND(#REF!,"AAAAAG3fe5M=")</f>
        <v>#REF!</v>
      </c>
      <c r="ES55" t="e">
        <f>AND(#REF!,"AAAAAG3fe5Q=")</f>
        <v>#REF!</v>
      </c>
      <c r="ET55" t="e">
        <f>IF(#REF!,"AAAAAG3fe5U=",0)</f>
        <v>#REF!</v>
      </c>
      <c r="EU55" t="e">
        <f>AND(#REF!,"AAAAAG3fe5Y=")</f>
        <v>#REF!</v>
      </c>
      <c r="EV55" t="e">
        <f>AND(#REF!,"AAAAAG3fe5c=")</f>
        <v>#REF!</v>
      </c>
      <c r="EW55" t="e">
        <f>AND(#REF!,"AAAAAG3fe5g=")</f>
        <v>#REF!</v>
      </c>
      <c r="EX55" t="e">
        <f>AND(#REF!,"AAAAAG3fe5k=")</f>
        <v>#REF!</v>
      </c>
      <c r="EY55" t="e">
        <f>AND(#REF!,"AAAAAG3fe5o=")</f>
        <v>#REF!</v>
      </c>
      <c r="EZ55" t="e">
        <f>AND(#REF!,"AAAAAG3fe5s=")</f>
        <v>#REF!</v>
      </c>
      <c r="FA55" t="e">
        <f>AND(#REF!,"AAAAAG3fe5w=")</f>
        <v>#REF!</v>
      </c>
      <c r="FB55" t="e">
        <f>AND(#REF!,"AAAAAG3fe50=")</f>
        <v>#REF!</v>
      </c>
      <c r="FC55" t="e">
        <f>AND(#REF!,"AAAAAG3fe54=")</f>
        <v>#REF!</v>
      </c>
      <c r="FD55" t="e">
        <f>AND(#REF!,"AAAAAG3fe58=")</f>
        <v>#REF!</v>
      </c>
      <c r="FE55" t="e">
        <f>AND(#REF!,"AAAAAG3fe6A=")</f>
        <v>#REF!</v>
      </c>
      <c r="FF55" t="e">
        <f>AND(#REF!,"AAAAAG3fe6E=")</f>
        <v>#REF!</v>
      </c>
      <c r="FG55" t="e">
        <f>AND(#REF!,"AAAAAG3fe6I=")</f>
        <v>#REF!</v>
      </c>
      <c r="FH55" t="e">
        <f>AND(#REF!,"AAAAAG3fe6M=")</f>
        <v>#REF!</v>
      </c>
      <c r="FI55" t="e">
        <f>AND(#REF!,"AAAAAG3fe6Q=")</f>
        <v>#REF!</v>
      </c>
      <c r="FJ55" t="e">
        <f>AND(#REF!,"AAAAAG3fe6U=")</f>
        <v>#REF!</v>
      </c>
      <c r="FK55" t="e">
        <f>IF(#REF!,"AAAAAG3fe6Y=",0)</f>
        <v>#REF!</v>
      </c>
      <c r="FL55" t="e">
        <f>AND(#REF!,"AAAAAG3fe6c=")</f>
        <v>#REF!</v>
      </c>
      <c r="FM55" t="e">
        <f>AND(#REF!,"AAAAAG3fe6g=")</f>
        <v>#REF!</v>
      </c>
      <c r="FN55" t="e">
        <f>AND(#REF!,"AAAAAG3fe6k=")</f>
        <v>#REF!</v>
      </c>
      <c r="FO55" t="e">
        <f>AND(#REF!,"AAAAAG3fe6o=")</f>
        <v>#REF!</v>
      </c>
      <c r="FP55" t="e">
        <f>AND(#REF!,"AAAAAG3fe6s=")</f>
        <v>#REF!</v>
      </c>
      <c r="FQ55" t="e">
        <f>AND(#REF!,"AAAAAG3fe6w=")</f>
        <v>#REF!</v>
      </c>
      <c r="FR55" t="e">
        <f>AND(#REF!,"AAAAAG3fe60=")</f>
        <v>#REF!</v>
      </c>
      <c r="FS55" t="e">
        <f>AND(#REF!,"AAAAAG3fe64=")</f>
        <v>#REF!</v>
      </c>
      <c r="FT55" t="e">
        <f>AND(#REF!,"AAAAAG3fe68=")</f>
        <v>#REF!</v>
      </c>
      <c r="FU55" t="e">
        <f>AND(#REF!,"AAAAAG3fe7A=")</f>
        <v>#REF!</v>
      </c>
      <c r="FV55" t="e">
        <f>AND(#REF!,"AAAAAG3fe7E=")</f>
        <v>#REF!</v>
      </c>
      <c r="FW55" t="e">
        <f>AND(#REF!,"AAAAAG3fe7I=")</f>
        <v>#REF!</v>
      </c>
      <c r="FX55" t="e">
        <f>AND(#REF!,"AAAAAG3fe7M=")</f>
        <v>#REF!</v>
      </c>
      <c r="FY55" t="e">
        <f>AND(#REF!,"AAAAAG3fe7Q=")</f>
        <v>#REF!</v>
      </c>
      <c r="FZ55" t="e">
        <f>AND(#REF!,"AAAAAG3fe7U=")</f>
        <v>#REF!</v>
      </c>
      <c r="GA55" t="e">
        <f>AND(#REF!,"AAAAAG3fe7Y=")</f>
        <v>#REF!</v>
      </c>
      <c r="GB55" t="e">
        <f>IF(#REF!,"AAAAAG3fe7c=",0)</f>
        <v>#REF!</v>
      </c>
      <c r="GC55" t="e">
        <f>AND(#REF!,"AAAAAG3fe7g=")</f>
        <v>#REF!</v>
      </c>
      <c r="GD55" t="e">
        <f>AND(#REF!,"AAAAAG3fe7k=")</f>
        <v>#REF!</v>
      </c>
      <c r="GE55" t="e">
        <f>AND(#REF!,"AAAAAG3fe7o=")</f>
        <v>#REF!</v>
      </c>
      <c r="GF55" t="e">
        <f>AND(#REF!,"AAAAAG3fe7s=")</f>
        <v>#REF!</v>
      </c>
      <c r="GG55" t="e">
        <f>AND(#REF!,"AAAAAG3fe7w=")</f>
        <v>#REF!</v>
      </c>
      <c r="GH55" t="e">
        <f>AND(#REF!,"AAAAAG3fe70=")</f>
        <v>#REF!</v>
      </c>
      <c r="GI55" t="e">
        <f>AND(#REF!,"AAAAAG3fe74=")</f>
        <v>#REF!</v>
      </c>
      <c r="GJ55" t="e">
        <f>AND(#REF!,"AAAAAG3fe78=")</f>
        <v>#REF!</v>
      </c>
      <c r="GK55" t="e">
        <f>AND(#REF!,"AAAAAG3fe8A=")</f>
        <v>#REF!</v>
      </c>
      <c r="GL55" t="e">
        <f>AND(#REF!,"AAAAAG3fe8E=")</f>
        <v>#REF!</v>
      </c>
      <c r="GM55" t="e">
        <f>AND(#REF!,"AAAAAG3fe8I=")</f>
        <v>#REF!</v>
      </c>
      <c r="GN55" t="e">
        <f>AND(#REF!,"AAAAAG3fe8M=")</f>
        <v>#REF!</v>
      </c>
      <c r="GO55" t="e">
        <f>AND(#REF!,"AAAAAG3fe8Q=")</f>
        <v>#REF!</v>
      </c>
      <c r="GP55" t="e">
        <f>AND(#REF!,"AAAAAG3fe8U=")</f>
        <v>#REF!</v>
      </c>
      <c r="GQ55" t="e">
        <f>AND(#REF!,"AAAAAG3fe8Y=")</f>
        <v>#REF!</v>
      </c>
      <c r="GR55" t="e">
        <f>AND(#REF!,"AAAAAG3fe8c=")</f>
        <v>#REF!</v>
      </c>
      <c r="GS55" t="e">
        <f>IF(#REF!,"AAAAAG3fe8g=",0)</f>
        <v>#REF!</v>
      </c>
      <c r="GT55" t="e">
        <f>AND(#REF!,"AAAAAG3fe8k=")</f>
        <v>#REF!</v>
      </c>
      <c r="GU55" t="e">
        <f>AND(#REF!,"AAAAAG3fe8o=")</f>
        <v>#REF!</v>
      </c>
      <c r="GV55" t="e">
        <f>AND(#REF!,"AAAAAG3fe8s=")</f>
        <v>#REF!</v>
      </c>
      <c r="GW55" t="e">
        <f>AND(#REF!,"AAAAAG3fe8w=")</f>
        <v>#REF!</v>
      </c>
      <c r="GX55" t="e">
        <f>AND(#REF!,"AAAAAG3fe80=")</f>
        <v>#REF!</v>
      </c>
      <c r="GY55" t="e">
        <f>AND(#REF!,"AAAAAG3fe84=")</f>
        <v>#REF!</v>
      </c>
      <c r="GZ55" t="e">
        <f>AND(#REF!,"AAAAAG3fe88=")</f>
        <v>#REF!</v>
      </c>
      <c r="HA55" t="e">
        <f>AND(#REF!,"AAAAAG3fe9A=")</f>
        <v>#REF!</v>
      </c>
      <c r="HB55" t="e">
        <f>AND(#REF!,"AAAAAG3fe9E=")</f>
        <v>#REF!</v>
      </c>
      <c r="HC55" t="e">
        <f>AND(#REF!,"AAAAAG3fe9I=")</f>
        <v>#REF!</v>
      </c>
      <c r="HD55" t="e">
        <f>AND(#REF!,"AAAAAG3fe9M=")</f>
        <v>#REF!</v>
      </c>
      <c r="HE55" t="e">
        <f>AND(#REF!,"AAAAAG3fe9Q=")</f>
        <v>#REF!</v>
      </c>
      <c r="HF55" t="e">
        <f>AND(#REF!,"AAAAAG3fe9U=")</f>
        <v>#REF!</v>
      </c>
      <c r="HG55" t="e">
        <f>AND(#REF!,"AAAAAG3fe9Y=")</f>
        <v>#REF!</v>
      </c>
      <c r="HH55" t="e">
        <f>AND(#REF!,"AAAAAG3fe9c=")</f>
        <v>#REF!</v>
      </c>
      <c r="HI55" t="e">
        <f>AND(#REF!,"AAAAAG3fe9g=")</f>
        <v>#REF!</v>
      </c>
      <c r="HJ55" t="e">
        <f>IF(#REF!,"AAAAAG3fe9k=",0)</f>
        <v>#REF!</v>
      </c>
      <c r="HK55" t="e">
        <f>AND(#REF!,"AAAAAG3fe9o=")</f>
        <v>#REF!</v>
      </c>
      <c r="HL55" t="e">
        <f>AND(#REF!,"AAAAAG3fe9s=")</f>
        <v>#REF!</v>
      </c>
      <c r="HM55" t="e">
        <f>AND(#REF!,"AAAAAG3fe9w=")</f>
        <v>#REF!</v>
      </c>
      <c r="HN55" t="e">
        <f>AND(#REF!,"AAAAAG3fe90=")</f>
        <v>#REF!</v>
      </c>
      <c r="HO55" t="e">
        <f>AND(#REF!,"AAAAAG3fe94=")</f>
        <v>#REF!</v>
      </c>
      <c r="HP55" t="e">
        <f>AND(#REF!,"AAAAAG3fe98=")</f>
        <v>#REF!</v>
      </c>
      <c r="HQ55" t="e">
        <f>AND(#REF!,"AAAAAG3fe+A=")</f>
        <v>#REF!</v>
      </c>
      <c r="HR55" t="e">
        <f>AND(#REF!,"AAAAAG3fe+E=")</f>
        <v>#REF!</v>
      </c>
      <c r="HS55" t="e">
        <f>AND(#REF!,"AAAAAG3fe+I=")</f>
        <v>#REF!</v>
      </c>
      <c r="HT55" t="e">
        <f>AND(#REF!,"AAAAAG3fe+M=")</f>
        <v>#REF!</v>
      </c>
      <c r="HU55" t="e">
        <f>AND(#REF!,"AAAAAG3fe+Q=")</f>
        <v>#REF!</v>
      </c>
      <c r="HV55" t="e">
        <f>AND(#REF!,"AAAAAG3fe+U=")</f>
        <v>#REF!</v>
      </c>
      <c r="HW55" t="e">
        <f>AND(#REF!,"AAAAAG3fe+Y=")</f>
        <v>#REF!</v>
      </c>
      <c r="HX55" t="e">
        <f>AND(#REF!,"AAAAAG3fe+c=")</f>
        <v>#REF!</v>
      </c>
      <c r="HY55" t="e">
        <f>AND(#REF!,"AAAAAG3fe+g=")</f>
        <v>#REF!</v>
      </c>
      <c r="HZ55" t="e">
        <f>AND(#REF!,"AAAAAG3fe+k=")</f>
        <v>#REF!</v>
      </c>
      <c r="IA55" t="e">
        <f>IF(#REF!,"AAAAAG3fe+o=",0)</f>
        <v>#REF!</v>
      </c>
      <c r="IB55" t="e">
        <f>AND(#REF!,"AAAAAG3fe+s=")</f>
        <v>#REF!</v>
      </c>
      <c r="IC55" t="e">
        <f>AND(#REF!,"AAAAAG3fe+w=")</f>
        <v>#REF!</v>
      </c>
      <c r="ID55" t="e">
        <f>AND(#REF!,"AAAAAG3fe+0=")</f>
        <v>#REF!</v>
      </c>
      <c r="IE55" t="e">
        <f>AND(#REF!,"AAAAAG3fe+4=")</f>
        <v>#REF!</v>
      </c>
      <c r="IF55" t="e">
        <f>AND(#REF!,"AAAAAG3fe+8=")</f>
        <v>#REF!</v>
      </c>
      <c r="IG55" t="e">
        <f>AND(#REF!,"AAAAAG3fe/A=")</f>
        <v>#REF!</v>
      </c>
      <c r="IH55" t="e">
        <f>AND(#REF!,"AAAAAG3fe/E=")</f>
        <v>#REF!</v>
      </c>
      <c r="II55" t="e">
        <f>AND(#REF!,"AAAAAG3fe/I=")</f>
        <v>#REF!</v>
      </c>
      <c r="IJ55" t="e">
        <f>AND(#REF!,"AAAAAG3fe/M=")</f>
        <v>#REF!</v>
      </c>
      <c r="IK55" t="e">
        <f>AND(#REF!,"AAAAAG3fe/Q=")</f>
        <v>#REF!</v>
      </c>
      <c r="IL55" t="e">
        <f>AND(#REF!,"AAAAAG3fe/U=")</f>
        <v>#REF!</v>
      </c>
      <c r="IM55" t="e">
        <f>AND(#REF!,"AAAAAG3fe/Y=")</f>
        <v>#REF!</v>
      </c>
      <c r="IN55" t="e">
        <f>AND(#REF!,"AAAAAG3fe/c=")</f>
        <v>#REF!</v>
      </c>
      <c r="IO55" t="e">
        <f>AND(#REF!,"AAAAAG3fe/g=")</f>
        <v>#REF!</v>
      </c>
      <c r="IP55" t="e">
        <f>AND(#REF!,"AAAAAG3fe/k=")</f>
        <v>#REF!</v>
      </c>
      <c r="IQ55" t="e">
        <f>AND(#REF!,"AAAAAG3fe/o=")</f>
        <v>#REF!</v>
      </c>
      <c r="IR55" t="e">
        <f>IF(#REF!,"AAAAAG3fe/s=",0)</f>
        <v>#REF!</v>
      </c>
      <c r="IS55" t="e">
        <f>AND(#REF!,"AAAAAG3fe/w=")</f>
        <v>#REF!</v>
      </c>
      <c r="IT55" t="e">
        <f>AND(#REF!,"AAAAAG3fe/0=")</f>
        <v>#REF!</v>
      </c>
      <c r="IU55" t="e">
        <f>AND(#REF!,"AAAAAG3fe/4=")</f>
        <v>#REF!</v>
      </c>
      <c r="IV55" t="e">
        <f>AND(#REF!,"AAAAAG3fe/8=")</f>
        <v>#REF!</v>
      </c>
    </row>
    <row r="56" spans="1:256" x14ac:dyDescent="0.25">
      <c r="A56" t="e">
        <f>AND(#REF!,"AAAAAH1o/wA=")</f>
        <v>#REF!</v>
      </c>
      <c r="B56" t="e">
        <f>AND(#REF!,"AAAAAH1o/wE=")</f>
        <v>#REF!</v>
      </c>
      <c r="C56" t="e">
        <f>AND(#REF!,"AAAAAH1o/wI=")</f>
        <v>#REF!</v>
      </c>
      <c r="D56" t="e">
        <f>AND(#REF!,"AAAAAH1o/wM=")</f>
        <v>#REF!</v>
      </c>
      <c r="E56" t="e">
        <f>AND(#REF!,"AAAAAH1o/wQ=")</f>
        <v>#REF!</v>
      </c>
      <c r="F56" t="e">
        <f>AND(#REF!,"AAAAAH1o/wU=")</f>
        <v>#REF!</v>
      </c>
      <c r="G56" t="e">
        <f>AND(#REF!,"AAAAAH1o/wY=")</f>
        <v>#REF!</v>
      </c>
      <c r="H56" t="e">
        <f>AND(#REF!,"AAAAAH1o/wc=")</f>
        <v>#REF!</v>
      </c>
      <c r="I56" t="e">
        <f>AND(#REF!,"AAAAAH1o/wg=")</f>
        <v>#REF!</v>
      </c>
      <c r="J56" t="e">
        <f>AND(#REF!,"AAAAAH1o/wk=")</f>
        <v>#REF!</v>
      </c>
      <c r="K56" t="e">
        <f>AND(#REF!,"AAAAAH1o/wo=")</f>
        <v>#REF!</v>
      </c>
      <c r="L56" t="e">
        <f>AND(#REF!,"AAAAAH1o/ws=")</f>
        <v>#REF!</v>
      </c>
      <c r="M56" t="e">
        <f>IF(#REF!,"AAAAAH1o/ww=",0)</f>
        <v>#REF!</v>
      </c>
      <c r="N56" t="e">
        <f>AND(#REF!,"AAAAAH1o/w0=")</f>
        <v>#REF!</v>
      </c>
      <c r="O56" t="e">
        <f>AND(#REF!,"AAAAAH1o/w4=")</f>
        <v>#REF!</v>
      </c>
      <c r="P56" t="e">
        <f>AND(#REF!,"AAAAAH1o/w8=")</f>
        <v>#REF!</v>
      </c>
      <c r="Q56" t="e">
        <f>AND(#REF!,"AAAAAH1o/xA=")</f>
        <v>#REF!</v>
      </c>
      <c r="R56" t="e">
        <f>AND(#REF!,"AAAAAH1o/xE=")</f>
        <v>#REF!</v>
      </c>
      <c r="S56" t="e">
        <f>AND(#REF!,"AAAAAH1o/xI=")</f>
        <v>#REF!</v>
      </c>
      <c r="T56" t="e">
        <f>AND(#REF!,"AAAAAH1o/xM=")</f>
        <v>#REF!</v>
      </c>
      <c r="U56" t="e">
        <f>AND(#REF!,"AAAAAH1o/xQ=")</f>
        <v>#REF!</v>
      </c>
      <c r="V56" t="e">
        <f>AND(#REF!,"AAAAAH1o/xU=")</f>
        <v>#REF!</v>
      </c>
      <c r="W56" t="e">
        <f>AND(#REF!,"AAAAAH1o/xY=")</f>
        <v>#REF!</v>
      </c>
      <c r="X56" t="e">
        <f>AND(#REF!,"AAAAAH1o/xc=")</f>
        <v>#REF!</v>
      </c>
      <c r="Y56" t="e">
        <f>AND(#REF!,"AAAAAH1o/xg=")</f>
        <v>#REF!</v>
      </c>
      <c r="Z56" t="e">
        <f>AND(#REF!,"AAAAAH1o/xk=")</f>
        <v>#REF!</v>
      </c>
      <c r="AA56" t="e">
        <f>AND(#REF!,"AAAAAH1o/xo=")</f>
        <v>#REF!</v>
      </c>
      <c r="AB56" t="e">
        <f>AND(#REF!,"AAAAAH1o/xs=")</f>
        <v>#REF!</v>
      </c>
      <c r="AC56" t="e">
        <f>AND(#REF!,"AAAAAH1o/xw=")</f>
        <v>#REF!</v>
      </c>
      <c r="AD56" t="e">
        <f>IF(#REF!,"AAAAAH1o/x0=",0)</f>
        <v>#REF!</v>
      </c>
      <c r="AE56" t="e">
        <f>AND(#REF!,"AAAAAH1o/x4=")</f>
        <v>#REF!</v>
      </c>
      <c r="AF56" t="e">
        <f>AND(#REF!,"AAAAAH1o/x8=")</f>
        <v>#REF!</v>
      </c>
      <c r="AG56" t="e">
        <f>AND(#REF!,"AAAAAH1o/yA=")</f>
        <v>#REF!</v>
      </c>
      <c r="AH56" t="e">
        <f>AND(#REF!,"AAAAAH1o/yE=")</f>
        <v>#REF!</v>
      </c>
      <c r="AI56" t="e">
        <f>AND(#REF!,"AAAAAH1o/yI=")</f>
        <v>#REF!</v>
      </c>
      <c r="AJ56" t="e">
        <f>AND(#REF!,"AAAAAH1o/yM=")</f>
        <v>#REF!</v>
      </c>
      <c r="AK56" t="e">
        <f>AND(#REF!,"AAAAAH1o/yQ=")</f>
        <v>#REF!</v>
      </c>
      <c r="AL56" t="e">
        <f>AND(#REF!,"AAAAAH1o/yU=")</f>
        <v>#REF!</v>
      </c>
      <c r="AM56" t="e">
        <f>AND(#REF!,"AAAAAH1o/yY=")</f>
        <v>#REF!</v>
      </c>
      <c r="AN56" t="e">
        <f>AND(#REF!,"AAAAAH1o/yc=")</f>
        <v>#REF!</v>
      </c>
      <c r="AO56" t="e">
        <f>AND(#REF!,"AAAAAH1o/yg=")</f>
        <v>#REF!</v>
      </c>
      <c r="AP56" t="e">
        <f>AND(#REF!,"AAAAAH1o/yk=")</f>
        <v>#REF!</v>
      </c>
      <c r="AQ56" t="e">
        <f>AND(#REF!,"AAAAAH1o/yo=")</f>
        <v>#REF!</v>
      </c>
      <c r="AR56" t="e">
        <f>AND(#REF!,"AAAAAH1o/ys=")</f>
        <v>#REF!</v>
      </c>
      <c r="AS56" t="e">
        <f>AND(#REF!,"AAAAAH1o/yw=")</f>
        <v>#REF!</v>
      </c>
      <c r="AT56" t="e">
        <f>AND(#REF!,"AAAAAH1o/y0=")</f>
        <v>#REF!</v>
      </c>
      <c r="AU56" t="e">
        <f>IF(#REF!,"AAAAAH1o/y4=",0)</f>
        <v>#REF!</v>
      </c>
      <c r="AV56" t="e">
        <f>AND(#REF!,"AAAAAH1o/y8=")</f>
        <v>#REF!</v>
      </c>
      <c r="AW56" t="e">
        <f>AND(#REF!,"AAAAAH1o/zA=")</f>
        <v>#REF!</v>
      </c>
      <c r="AX56" t="e">
        <f>AND(#REF!,"AAAAAH1o/zE=")</f>
        <v>#REF!</v>
      </c>
      <c r="AY56" t="e">
        <f>AND(#REF!,"AAAAAH1o/zI=")</f>
        <v>#REF!</v>
      </c>
      <c r="AZ56" t="e">
        <f>AND(#REF!,"AAAAAH1o/zM=")</f>
        <v>#REF!</v>
      </c>
      <c r="BA56" t="e">
        <f>AND(#REF!,"AAAAAH1o/zQ=")</f>
        <v>#REF!</v>
      </c>
      <c r="BB56" t="e">
        <f>AND(#REF!,"AAAAAH1o/zU=")</f>
        <v>#REF!</v>
      </c>
      <c r="BC56" t="e">
        <f>AND(#REF!,"AAAAAH1o/zY=")</f>
        <v>#REF!</v>
      </c>
      <c r="BD56" t="e">
        <f>AND(#REF!,"AAAAAH1o/zc=")</f>
        <v>#REF!</v>
      </c>
      <c r="BE56" t="e">
        <f>AND(#REF!,"AAAAAH1o/zg=")</f>
        <v>#REF!</v>
      </c>
      <c r="BF56" t="e">
        <f>AND(#REF!,"AAAAAH1o/zk=")</f>
        <v>#REF!</v>
      </c>
      <c r="BG56" t="e">
        <f>AND(#REF!,"AAAAAH1o/zo=")</f>
        <v>#REF!</v>
      </c>
      <c r="BH56" t="e">
        <f>AND(#REF!,"AAAAAH1o/zs=")</f>
        <v>#REF!</v>
      </c>
      <c r="BI56" t="e">
        <f>AND(#REF!,"AAAAAH1o/zw=")</f>
        <v>#REF!</v>
      </c>
      <c r="BJ56" t="e">
        <f>AND(#REF!,"AAAAAH1o/z0=")</f>
        <v>#REF!</v>
      </c>
      <c r="BK56" t="e">
        <f>AND(#REF!,"AAAAAH1o/z4=")</f>
        <v>#REF!</v>
      </c>
      <c r="BL56" t="e">
        <f>IF(#REF!,"AAAAAH1o/z8=",0)</f>
        <v>#REF!</v>
      </c>
      <c r="BM56" t="e">
        <f>AND(#REF!,"AAAAAH1o/0A=")</f>
        <v>#REF!</v>
      </c>
      <c r="BN56" t="e">
        <f>AND(#REF!,"AAAAAH1o/0E=")</f>
        <v>#REF!</v>
      </c>
      <c r="BO56" t="e">
        <f>AND(#REF!,"AAAAAH1o/0I=")</f>
        <v>#REF!</v>
      </c>
      <c r="BP56" t="e">
        <f>AND(#REF!,"AAAAAH1o/0M=")</f>
        <v>#REF!</v>
      </c>
      <c r="BQ56" t="e">
        <f>AND(#REF!,"AAAAAH1o/0Q=")</f>
        <v>#REF!</v>
      </c>
      <c r="BR56" t="e">
        <f>AND(#REF!,"AAAAAH1o/0U=")</f>
        <v>#REF!</v>
      </c>
      <c r="BS56" t="e">
        <f>AND(#REF!,"AAAAAH1o/0Y=")</f>
        <v>#REF!</v>
      </c>
      <c r="BT56" t="e">
        <f>AND(#REF!,"AAAAAH1o/0c=")</f>
        <v>#REF!</v>
      </c>
      <c r="BU56" t="e">
        <f>AND(#REF!,"AAAAAH1o/0g=")</f>
        <v>#REF!</v>
      </c>
      <c r="BV56" t="e">
        <f>AND(#REF!,"AAAAAH1o/0k=")</f>
        <v>#REF!</v>
      </c>
      <c r="BW56" t="e">
        <f>AND(#REF!,"AAAAAH1o/0o=")</f>
        <v>#REF!</v>
      </c>
      <c r="BX56" t="e">
        <f>AND(#REF!,"AAAAAH1o/0s=")</f>
        <v>#REF!</v>
      </c>
      <c r="BY56" t="e">
        <f>AND(#REF!,"AAAAAH1o/0w=")</f>
        <v>#REF!</v>
      </c>
      <c r="BZ56" t="e">
        <f>AND(#REF!,"AAAAAH1o/00=")</f>
        <v>#REF!</v>
      </c>
      <c r="CA56" t="e">
        <f>AND(#REF!,"AAAAAH1o/04=")</f>
        <v>#REF!</v>
      </c>
      <c r="CB56" t="e">
        <f>AND(#REF!,"AAAAAH1o/08=")</f>
        <v>#REF!</v>
      </c>
      <c r="CC56" t="e">
        <f>IF(#REF!,"AAAAAH1o/1A=",0)</f>
        <v>#REF!</v>
      </c>
      <c r="CD56" t="e">
        <f>AND(#REF!,"AAAAAH1o/1E=")</f>
        <v>#REF!</v>
      </c>
      <c r="CE56" t="e">
        <f>AND(#REF!,"AAAAAH1o/1I=")</f>
        <v>#REF!</v>
      </c>
      <c r="CF56" t="e">
        <f>AND(#REF!,"AAAAAH1o/1M=")</f>
        <v>#REF!</v>
      </c>
      <c r="CG56" t="e">
        <f>AND(#REF!,"AAAAAH1o/1Q=")</f>
        <v>#REF!</v>
      </c>
      <c r="CH56" t="e">
        <f>AND(#REF!,"AAAAAH1o/1U=")</f>
        <v>#REF!</v>
      </c>
      <c r="CI56" t="e">
        <f>AND(#REF!,"AAAAAH1o/1Y=")</f>
        <v>#REF!</v>
      </c>
      <c r="CJ56" t="e">
        <f>AND(#REF!,"AAAAAH1o/1c=")</f>
        <v>#REF!</v>
      </c>
      <c r="CK56" t="e">
        <f>AND(#REF!,"AAAAAH1o/1g=")</f>
        <v>#REF!</v>
      </c>
      <c r="CL56" t="e">
        <f>AND(#REF!,"AAAAAH1o/1k=")</f>
        <v>#REF!</v>
      </c>
      <c r="CM56" t="e">
        <f>AND(#REF!,"AAAAAH1o/1o=")</f>
        <v>#REF!</v>
      </c>
      <c r="CN56" t="e">
        <f>AND(#REF!,"AAAAAH1o/1s=")</f>
        <v>#REF!</v>
      </c>
      <c r="CO56" t="e">
        <f>AND(#REF!,"AAAAAH1o/1w=")</f>
        <v>#REF!</v>
      </c>
      <c r="CP56" t="e">
        <f>AND(#REF!,"AAAAAH1o/10=")</f>
        <v>#REF!</v>
      </c>
      <c r="CQ56" t="e">
        <f>AND(#REF!,"AAAAAH1o/14=")</f>
        <v>#REF!</v>
      </c>
      <c r="CR56" t="e">
        <f>AND(#REF!,"AAAAAH1o/18=")</f>
        <v>#REF!</v>
      </c>
      <c r="CS56" t="e">
        <f>AND(#REF!,"AAAAAH1o/2A=")</f>
        <v>#REF!</v>
      </c>
      <c r="CT56" t="e">
        <f>IF(#REF!,"AAAAAH1o/2E=",0)</f>
        <v>#REF!</v>
      </c>
      <c r="CU56" t="e">
        <f>AND(#REF!,"AAAAAH1o/2I=")</f>
        <v>#REF!</v>
      </c>
      <c r="CV56" t="e">
        <f>AND(#REF!,"AAAAAH1o/2M=")</f>
        <v>#REF!</v>
      </c>
      <c r="CW56" t="e">
        <f>AND(#REF!,"AAAAAH1o/2Q=")</f>
        <v>#REF!</v>
      </c>
      <c r="CX56" t="e">
        <f>AND(#REF!,"AAAAAH1o/2U=")</f>
        <v>#REF!</v>
      </c>
      <c r="CY56" t="e">
        <f>AND(#REF!,"AAAAAH1o/2Y=")</f>
        <v>#REF!</v>
      </c>
      <c r="CZ56" t="e">
        <f>AND(#REF!,"AAAAAH1o/2c=")</f>
        <v>#REF!</v>
      </c>
      <c r="DA56" t="e">
        <f>AND(#REF!,"AAAAAH1o/2g=")</f>
        <v>#REF!</v>
      </c>
      <c r="DB56" t="e">
        <f>AND(#REF!,"AAAAAH1o/2k=")</f>
        <v>#REF!</v>
      </c>
      <c r="DC56" t="e">
        <f>AND(#REF!,"AAAAAH1o/2o=")</f>
        <v>#REF!</v>
      </c>
      <c r="DD56" t="e">
        <f>AND(#REF!,"AAAAAH1o/2s=")</f>
        <v>#REF!</v>
      </c>
      <c r="DE56" t="e">
        <f>AND(#REF!,"AAAAAH1o/2w=")</f>
        <v>#REF!</v>
      </c>
      <c r="DF56" t="e">
        <f>AND(#REF!,"AAAAAH1o/20=")</f>
        <v>#REF!</v>
      </c>
      <c r="DG56" t="e">
        <f>AND(#REF!,"AAAAAH1o/24=")</f>
        <v>#REF!</v>
      </c>
      <c r="DH56" t="e">
        <f>AND(#REF!,"AAAAAH1o/28=")</f>
        <v>#REF!</v>
      </c>
      <c r="DI56" t="e">
        <f>AND(#REF!,"AAAAAH1o/3A=")</f>
        <v>#REF!</v>
      </c>
      <c r="DJ56" t="e">
        <f>AND(#REF!,"AAAAAH1o/3E=")</f>
        <v>#REF!</v>
      </c>
      <c r="DK56" t="e">
        <f>IF(#REF!,"AAAAAH1o/3I=",0)</f>
        <v>#REF!</v>
      </c>
      <c r="DL56" t="e">
        <f>AND(#REF!,"AAAAAH1o/3M=")</f>
        <v>#REF!</v>
      </c>
      <c r="DM56" t="e">
        <f>AND(#REF!,"AAAAAH1o/3Q=")</f>
        <v>#REF!</v>
      </c>
      <c r="DN56" t="e">
        <f>AND(#REF!,"AAAAAH1o/3U=")</f>
        <v>#REF!</v>
      </c>
      <c r="DO56" t="e">
        <f>AND(#REF!,"AAAAAH1o/3Y=")</f>
        <v>#REF!</v>
      </c>
      <c r="DP56" t="e">
        <f>AND(#REF!,"AAAAAH1o/3c=")</f>
        <v>#REF!</v>
      </c>
      <c r="DQ56" t="e">
        <f>AND(#REF!,"AAAAAH1o/3g=")</f>
        <v>#REF!</v>
      </c>
      <c r="DR56" t="e">
        <f>AND(#REF!,"AAAAAH1o/3k=")</f>
        <v>#REF!</v>
      </c>
      <c r="DS56" t="e">
        <f>AND(#REF!,"AAAAAH1o/3o=")</f>
        <v>#REF!</v>
      </c>
      <c r="DT56" t="e">
        <f>AND(#REF!,"AAAAAH1o/3s=")</f>
        <v>#REF!</v>
      </c>
      <c r="DU56" t="e">
        <f>AND(#REF!,"AAAAAH1o/3w=")</f>
        <v>#REF!</v>
      </c>
      <c r="DV56" t="e">
        <f>AND(#REF!,"AAAAAH1o/30=")</f>
        <v>#REF!</v>
      </c>
      <c r="DW56" t="e">
        <f>AND(#REF!,"AAAAAH1o/34=")</f>
        <v>#REF!</v>
      </c>
      <c r="DX56" t="e">
        <f>AND(#REF!,"AAAAAH1o/38=")</f>
        <v>#REF!</v>
      </c>
      <c r="DY56" t="e">
        <f>AND(#REF!,"AAAAAH1o/4A=")</f>
        <v>#REF!</v>
      </c>
      <c r="DZ56" t="e">
        <f>AND(#REF!,"AAAAAH1o/4E=")</f>
        <v>#REF!</v>
      </c>
      <c r="EA56" t="e">
        <f>AND(#REF!,"AAAAAH1o/4I=")</f>
        <v>#REF!</v>
      </c>
      <c r="EB56" t="e">
        <f>IF(#REF!,"AAAAAH1o/4M=",0)</f>
        <v>#REF!</v>
      </c>
      <c r="EC56" t="e">
        <f>AND(#REF!,"AAAAAH1o/4Q=")</f>
        <v>#REF!</v>
      </c>
      <c r="ED56" t="e">
        <f>AND(#REF!,"AAAAAH1o/4U=")</f>
        <v>#REF!</v>
      </c>
      <c r="EE56" t="e">
        <f>AND(#REF!,"AAAAAH1o/4Y=")</f>
        <v>#REF!</v>
      </c>
      <c r="EF56" t="e">
        <f>AND(#REF!,"AAAAAH1o/4c=")</f>
        <v>#REF!</v>
      </c>
      <c r="EG56" t="e">
        <f>AND(#REF!,"AAAAAH1o/4g=")</f>
        <v>#REF!</v>
      </c>
      <c r="EH56" t="e">
        <f>AND(#REF!,"AAAAAH1o/4k=")</f>
        <v>#REF!</v>
      </c>
      <c r="EI56" t="e">
        <f>AND(#REF!,"AAAAAH1o/4o=")</f>
        <v>#REF!</v>
      </c>
      <c r="EJ56" t="e">
        <f>AND(#REF!,"AAAAAH1o/4s=")</f>
        <v>#REF!</v>
      </c>
      <c r="EK56" t="e">
        <f>AND(#REF!,"AAAAAH1o/4w=")</f>
        <v>#REF!</v>
      </c>
      <c r="EL56" t="e">
        <f>AND(#REF!,"AAAAAH1o/40=")</f>
        <v>#REF!</v>
      </c>
      <c r="EM56" t="e">
        <f>AND(#REF!,"AAAAAH1o/44=")</f>
        <v>#REF!</v>
      </c>
      <c r="EN56" t="e">
        <f>AND(#REF!,"AAAAAH1o/48=")</f>
        <v>#REF!</v>
      </c>
      <c r="EO56" t="e">
        <f>AND(#REF!,"AAAAAH1o/5A=")</f>
        <v>#REF!</v>
      </c>
      <c r="EP56" t="e">
        <f>AND(#REF!,"AAAAAH1o/5E=")</f>
        <v>#REF!</v>
      </c>
      <c r="EQ56" t="e">
        <f>AND(#REF!,"AAAAAH1o/5I=")</f>
        <v>#REF!</v>
      </c>
      <c r="ER56" t="e">
        <f>AND(#REF!,"AAAAAH1o/5M=")</f>
        <v>#REF!</v>
      </c>
      <c r="ES56" t="e">
        <f>IF(#REF!,"AAAAAH1o/5Q=",0)</f>
        <v>#REF!</v>
      </c>
      <c r="ET56" t="e">
        <f>AND(#REF!,"AAAAAH1o/5U=")</f>
        <v>#REF!</v>
      </c>
      <c r="EU56" t="e">
        <f>AND(#REF!,"AAAAAH1o/5Y=")</f>
        <v>#REF!</v>
      </c>
      <c r="EV56" t="e">
        <f>AND(#REF!,"AAAAAH1o/5c=")</f>
        <v>#REF!</v>
      </c>
      <c r="EW56" t="e">
        <f>AND(#REF!,"AAAAAH1o/5g=")</f>
        <v>#REF!</v>
      </c>
      <c r="EX56" t="e">
        <f>AND(#REF!,"AAAAAH1o/5k=")</f>
        <v>#REF!</v>
      </c>
      <c r="EY56" t="e">
        <f>AND(#REF!,"AAAAAH1o/5o=")</f>
        <v>#REF!</v>
      </c>
      <c r="EZ56" t="e">
        <f>AND(#REF!,"AAAAAH1o/5s=")</f>
        <v>#REF!</v>
      </c>
      <c r="FA56" t="e">
        <f>AND(#REF!,"AAAAAH1o/5w=")</f>
        <v>#REF!</v>
      </c>
      <c r="FB56" t="e">
        <f>AND(#REF!,"AAAAAH1o/50=")</f>
        <v>#REF!</v>
      </c>
      <c r="FC56" t="e">
        <f>AND(#REF!,"AAAAAH1o/54=")</f>
        <v>#REF!</v>
      </c>
      <c r="FD56" t="e">
        <f>AND(#REF!,"AAAAAH1o/58=")</f>
        <v>#REF!</v>
      </c>
      <c r="FE56" t="e">
        <f>AND(#REF!,"AAAAAH1o/6A=")</f>
        <v>#REF!</v>
      </c>
      <c r="FF56" t="e">
        <f>AND(#REF!,"AAAAAH1o/6E=")</f>
        <v>#REF!</v>
      </c>
      <c r="FG56" t="e">
        <f>AND(#REF!,"AAAAAH1o/6I=")</f>
        <v>#REF!</v>
      </c>
      <c r="FH56" t="e">
        <f>AND(#REF!,"AAAAAH1o/6M=")</f>
        <v>#REF!</v>
      </c>
      <c r="FI56" t="e">
        <f>AND(#REF!,"AAAAAH1o/6Q=")</f>
        <v>#REF!</v>
      </c>
      <c r="FJ56" t="e">
        <f>IF(#REF!,"AAAAAH1o/6U=",0)</f>
        <v>#REF!</v>
      </c>
      <c r="FK56" t="e">
        <f>AND(#REF!,"AAAAAH1o/6Y=")</f>
        <v>#REF!</v>
      </c>
      <c r="FL56" t="e">
        <f>AND(#REF!,"AAAAAH1o/6c=")</f>
        <v>#REF!</v>
      </c>
      <c r="FM56" t="e">
        <f>AND(#REF!,"AAAAAH1o/6g=")</f>
        <v>#REF!</v>
      </c>
      <c r="FN56" t="e">
        <f>AND(#REF!,"AAAAAH1o/6k=")</f>
        <v>#REF!</v>
      </c>
      <c r="FO56" t="e">
        <f>AND(#REF!,"AAAAAH1o/6o=")</f>
        <v>#REF!</v>
      </c>
      <c r="FP56" t="e">
        <f>AND(#REF!,"AAAAAH1o/6s=")</f>
        <v>#REF!</v>
      </c>
      <c r="FQ56" t="e">
        <f>AND(#REF!,"AAAAAH1o/6w=")</f>
        <v>#REF!</v>
      </c>
      <c r="FR56" t="e">
        <f>AND(#REF!,"AAAAAH1o/60=")</f>
        <v>#REF!</v>
      </c>
      <c r="FS56" t="e">
        <f>AND(#REF!,"AAAAAH1o/64=")</f>
        <v>#REF!</v>
      </c>
      <c r="FT56" t="e">
        <f>AND(#REF!,"AAAAAH1o/68=")</f>
        <v>#REF!</v>
      </c>
      <c r="FU56" t="e">
        <f>AND(#REF!,"AAAAAH1o/7A=")</f>
        <v>#REF!</v>
      </c>
      <c r="FV56" t="e">
        <f>AND(#REF!,"AAAAAH1o/7E=")</f>
        <v>#REF!</v>
      </c>
      <c r="FW56" t="e">
        <f>AND(#REF!,"AAAAAH1o/7I=")</f>
        <v>#REF!</v>
      </c>
      <c r="FX56" t="e">
        <f>AND(#REF!,"AAAAAH1o/7M=")</f>
        <v>#REF!</v>
      </c>
      <c r="FY56" t="e">
        <f>AND(#REF!,"AAAAAH1o/7Q=")</f>
        <v>#REF!</v>
      </c>
      <c r="FZ56" t="e">
        <f>AND(#REF!,"AAAAAH1o/7U=")</f>
        <v>#REF!</v>
      </c>
      <c r="GA56" t="e">
        <f>IF(#REF!,"AAAAAH1o/7Y=",0)</f>
        <v>#REF!</v>
      </c>
      <c r="GB56" t="e">
        <f>AND(#REF!,"AAAAAH1o/7c=")</f>
        <v>#REF!</v>
      </c>
      <c r="GC56" t="e">
        <f>AND(#REF!,"AAAAAH1o/7g=")</f>
        <v>#REF!</v>
      </c>
      <c r="GD56" t="e">
        <f>AND(#REF!,"AAAAAH1o/7k=")</f>
        <v>#REF!</v>
      </c>
      <c r="GE56" t="e">
        <f>AND(#REF!,"AAAAAH1o/7o=")</f>
        <v>#REF!</v>
      </c>
      <c r="GF56" t="e">
        <f>AND(#REF!,"AAAAAH1o/7s=")</f>
        <v>#REF!</v>
      </c>
      <c r="GG56" t="e">
        <f>AND(#REF!,"AAAAAH1o/7w=")</f>
        <v>#REF!</v>
      </c>
      <c r="GH56" t="e">
        <f>AND(#REF!,"AAAAAH1o/70=")</f>
        <v>#REF!</v>
      </c>
      <c r="GI56" t="e">
        <f>AND(#REF!,"AAAAAH1o/74=")</f>
        <v>#REF!</v>
      </c>
      <c r="GJ56" t="e">
        <f>AND(#REF!,"AAAAAH1o/78=")</f>
        <v>#REF!</v>
      </c>
      <c r="GK56" t="e">
        <f>AND(#REF!,"AAAAAH1o/8A=")</f>
        <v>#REF!</v>
      </c>
      <c r="GL56" t="e">
        <f>AND(#REF!,"AAAAAH1o/8E=")</f>
        <v>#REF!</v>
      </c>
      <c r="GM56" t="e">
        <f>AND(#REF!,"AAAAAH1o/8I=")</f>
        <v>#REF!</v>
      </c>
      <c r="GN56" t="e">
        <f>AND(#REF!,"AAAAAH1o/8M=")</f>
        <v>#REF!</v>
      </c>
      <c r="GO56" t="e">
        <f>AND(#REF!,"AAAAAH1o/8Q=")</f>
        <v>#REF!</v>
      </c>
      <c r="GP56" t="e">
        <f>AND(#REF!,"AAAAAH1o/8U=")</f>
        <v>#REF!</v>
      </c>
      <c r="GQ56" t="e">
        <f>AND(#REF!,"AAAAAH1o/8Y=")</f>
        <v>#REF!</v>
      </c>
      <c r="GR56" t="e">
        <f>IF(#REF!,"AAAAAH1o/8c=",0)</f>
        <v>#REF!</v>
      </c>
      <c r="GS56" t="e">
        <f>AND(#REF!,"AAAAAH1o/8g=")</f>
        <v>#REF!</v>
      </c>
      <c r="GT56" t="e">
        <f>AND(#REF!,"AAAAAH1o/8k=")</f>
        <v>#REF!</v>
      </c>
      <c r="GU56" t="e">
        <f>AND(#REF!,"AAAAAH1o/8o=")</f>
        <v>#REF!</v>
      </c>
      <c r="GV56" t="e">
        <f>AND(#REF!,"AAAAAH1o/8s=")</f>
        <v>#REF!</v>
      </c>
      <c r="GW56" t="e">
        <f>AND(#REF!,"AAAAAH1o/8w=")</f>
        <v>#REF!</v>
      </c>
      <c r="GX56" t="e">
        <f>AND(#REF!,"AAAAAH1o/80=")</f>
        <v>#REF!</v>
      </c>
      <c r="GY56" t="e">
        <f>AND(#REF!,"AAAAAH1o/84=")</f>
        <v>#REF!</v>
      </c>
      <c r="GZ56" t="e">
        <f>AND(#REF!,"AAAAAH1o/88=")</f>
        <v>#REF!</v>
      </c>
      <c r="HA56" t="e">
        <f>AND(#REF!,"AAAAAH1o/9A=")</f>
        <v>#REF!</v>
      </c>
      <c r="HB56" t="e">
        <f>AND(#REF!,"AAAAAH1o/9E=")</f>
        <v>#REF!</v>
      </c>
      <c r="HC56" t="e">
        <f>AND(#REF!,"AAAAAH1o/9I=")</f>
        <v>#REF!</v>
      </c>
      <c r="HD56" t="e">
        <f>AND(#REF!,"AAAAAH1o/9M=")</f>
        <v>#REF!</v>
      </c>
      <c r="HE56" t="e">
        <f>AND(#REF!,"AAAAAH1o/9Q=")</f>
        <v>#REF!</v>
      </c>
      <c r="HF56" t="e">
        <f>AND(#REF!,"AAAAAH1o/9U=")</f>
        <v>#REF!</v>
      </c>
      <c r="HG56" t="e">
        <f>AND(#REF!,"AAAAAH1o/9Y=")</f>
        <v>#REF!</v>
      </c>
      <c r="HH56" t="e">
        <f>AND(#REF!,"AAAAAH1o/9c=")</f>
        <v>#REF!</v>
      </c>
      <c r="HI56" t="e">
        <f>IF(#REF!,"AAAAAH1o/9g=",0)</f>
        <v>#REF!</v>
      </c>
      <c r="HJ56" t="e">
        <f>AND(#REF!,"AAAAAH1o/9k=")</f>
        <v>#REF!</v>
      </c>
      <c r="HK56" t="e">
        <f>AND(#REF!,"AAAAAH1o/9o=")</f>
        <v>#REF!</v>
      </c>
      <c r="HL56" t="e">
        <f>AND(#REF!,"AAAAAH1o/9s=")</f>
        <v>#REF!</v>
      </c>
      <c r="HM56" t="e">
        <f>AND(#REF!,"AAAAAH1o/9w=")</f>
        <v>#REF!</v>
      </c>
      <c r="HN56" t="e">
        <f>AND(#REF!,"AAAAAH1o/90=")</f>
        <v>#REF!</v>
      </c>
      <c r="HO56" t="e">
        <f>AND(#REF!,"AAAAAH1o/94=")</f>
        <v>#REF!</v>
      </c>
      <c r="HP56" t="e">
        <f>AND(#REF!,"AAAAAH1o/98=")</f>
        <v>#REF!</v>
      </c>
      <c r="HQ56" t="e">
        <f>AND(#REF!,"AAAAAH1o/+A=")</f>
        <v>#REF!</v>
      </c>
      <c r="HR56" t="e">
        <f>AND(#REF!,"AAAAAH1o/+E=")</f>
        <v>#REF!</v>
      </c>
      <c r="HS56" t="e">
        <f>AND(#REF!,"AAAAAH1o/+I=")</f>
        <v>#REF!</v>
      </c>
      <c r="HT56" t="e">
        <f>AND(#REF!,"AAAAAH1o/+M=")</f>
        <v>#REF!</v>
      </c>
      <c r="HU56" t="e">
        <f>AND(#REF!,"AAAAAH1o/+Q=")</f>
        <v>#REF!</v>
      </c>
      <c r="HV56" t="e">
        <f>AND(#REF!,"AAAAAH1o/+U=")</f>
        <v>#REF!</v>
      </c>
      <c r="HW56" t="e">
        <f>AND(#REF!,"AAAAAH1o/+Y=")</f>
        <v>#REF!</v>
      </c>
      <c r="HX56" t="e">
        <f>AND(#REF!,"AAAAAH1o/+c=")</f>
        <v>#REF!</v>
      </c>
      <c r="HY56" t="e">
        <f>AND(#REF!,"AAAAAH1o/+g=")</f>
        <v>#REF!</v>
      </c>
      <c r="HZ56" t="e">
        <f>IF(#REF!,"AAAAAH1o/+k=",0)</f>
        <v>#REF!</v>
      </c>
      <c r="IA56" t="e">
        <f>AND(#REF!,"AAAAAH1o/+o=")</f>
        <v>#REF!</v>
      </c>
      <c r="IB56" t="e">
        <f>AND(#REF!,"AAAAAH1o/+s=")</f>
        <v>#REF!</v>
      </c>
      <c r="IC56" t="e">
        <f>AND(#REF!,"AAAAAH1o/+w=")</f>
        <v>#REF!</v>
      </c>
      <c r="ID56" t="e">
        <f>AND(#REF!,"AAAAAH1o/+0=")</f>
        <v>#REF!</v>
      </c>
      <c r="IE56" t="e">
        <f>AND(#REF!,"AAAAAH1o/+4=")</f>
        <v>#REF!</v>
      </c>
      <c r="IF56" t="e">
        <f>AND(#REF!,"AAAAAH1o/+8=")</f>
        <v>#REF!</v>
      </c>
      <c r="IG56" t="e">
        <f>AND(#REF!,"AAAAAH1o//A=")</f>
        <v>#REF!</v>
      </c>
      <c r="IH56" t="e">
        <f>AND(#REF!,"AAAAAH1o//E=")</f>
        <v>#REF!</v>
      </c>
      <c r="II56" t="e">
        <f>AND(#REF!,"AAAAAH1o//I=")</f>
        <v>#REF!</v>
      </c>
      <c r="IJ56" t="e">
        <f>AND(#REF!,"AAAAAH1o//M=")</f>
        <v>#REF!</v>
      </c>
      <c r="IK56" t="e">
        <f>AND(#REF!,"AAAAAH1o//Q=")</f>
        <v>#REF!</v>
      </c>
      <c r="IL56" t="e">
        <f>AND(#REF!,"AAAAAH1o//U=")</f>
        <v>#REF!</v>
      </c>
      <c r="IM56" t="e">
        <f>AND(#REF!,"AAAAAH1o//Y=")</f>
        <v>#REF!</v>
      </c>
      <c r="IN56" t="e">
        <f>AND(#REF!,"AAAAAH1o//c=")</f>
        <v>#REF!</v>
      </c>
      <c r="IO56" t="e">
        <f>AND(#REF!,"AAAAAH1o//g=")</f>
        <v>#REF!</v>
      </c>
      <c r="IP56" t="e">
        <f>AND(#REF!,"AAAAAH1o//k=")</f>
        <v>#REF!</v>
      </c>
      <c r="IQ56" t="e">
        <f>IF(#REF!,"AAAAAH1o//o=",0)</f>
        <v>#REF!</v>
      </c>
      <c r="IR56" t="e">
        <f>AND(#REF!,"AAAAAH1o//s=")</f>
        <v>#REF!</v>
      </c>
      <c r="IS56" t="e">
        <f>AND(#REF!,"AAAAAH1o//w=")</f>
        <v>#REF!</v>
      </c>
      <c r="IT56" t="e">
        <f>AND(#REF!,"AAAAAH1o//0=")</f>
        <v>#REF!</v>
      </c>
      <c r="IU56" t="e">
        <f>AND(#REF!,"AAAAAH1o//4=")</f>
        <v>#REF!</v>
      </c>
      <c r="IV56" t="e">
        <f>AND(#REF!,"AAAAAH1o//8=")</f>
        <v>#REF!</v>
      </c>
    </row>
    <row r="57" spans="1:256" x14ac:dyDescent="0.25">
      <c r="A57" t="e">
        <f>AND(#REF!,"AAAAAG/XXwA=")</f>
        <v>#REF!</v>
      </c>
      <c r="B57" t="e">
        <f>AND(#REF!,"AAAAAG/XXwE=")</f>
        <v>#REF!</v>
      </c>
      <c r="C57" t="e">
        <f>AND(#REF!,"AAAAAG/XXwI=")</f>
        <v>#REF!</v>
      </c>
      <c r="D57" t="e">
        <f>AND(#REF!,"AAAAAG/XXwM=")</f>
        <v>#REF!</v>
      </c>
      <c r="E57" t="e">
        <f>AND(#REF!,"AAAAAG/XXwQ=")</f>
        <v>#REF!</v>
      </c>
      <c r="F57" t="e">
        <f>AND(#REF!,"AAAAAG/XXwU=")</f>
        <v>#REF!</v>
      </c>
      <c r="G57" t="e">
        <f>AND(#REF!,"AAAAAG/XXwY=")</f>
        <v>#REF!</v>
      </c>
      <c r="H57" t="e">
        <f>AND(#REF!,"AAAAAG/XXwc=")</f>
        <v>#REF!</v>
      </c>
      <c r="I57" t="e">
        <f>AND(#REF!,"AAAAAG/XXwg=")</f>
        <v>#REF!</v>
      </c>
      <c r="J57" t="e">
        <f>AND(#REF!,"AAAAAG/XXwk=")</f>
        <v>#REF!</v>
      </c>
      <c r="K57" t="e">
        <f>AND(#REF!,"AAAAAG/XXwo=")</f>
        <v>#REF!</v>
      </c>
      <c r="L57" t="e">
        <f>IF(#REF!,"AAAAAG/XXws=",0)</f>
        <v>#REF!</v>
      </c>
      <c r="M57" t="e">
        <f>AND(#REF!,"AAAAAG/XXww=")</f>
        <v>#REF!</v>
      </c>
      <c r="N57" t="e">
        <f>AND(#REF!,"AAAAAG/XXw0=")</f>
        <v>#REF!</v>
      </c>
      <c r="O57" t="e">
        <f>AND(#REF!,"AAAAAG/XXw4=")</f>
        <v>#REF!</v>
      </c>
      <c r="P57" t="e">
        <f>AND(#REF!,"AAAAAG/XXw8=")</f>
        <v>#REF!</v>
      </c>
      <c r="Q57" t="e">
        <f>AND(#REF!,"AAAAAG/XXxA=")</f>
        <v>#REF!</v>
      </c>
      <c r="R57" t="e">
        <f>AND(#REF!,"AAAAAG/XXxE=")</f>
        <v>#REF!</v>
      </c>
      <c r="S57" t="e">
        <f>AND(#REF!,"AAAAAG/XXxI=")</f>
        <v>#REF!</v>
      </c>
      <c r="T57" t="e">
        <f>AND(#REF!,"AAAAAG/XXxM=")</f>
        <v>#REF!</v>
      </c>
      <c r="U57" t="e">
        <f>AND(#REF!,"AAAAAG/XXxQ=")</f>
        <v>#REF!</v>
      </c>
      <c r="V57" t="e">
        <f>AND(#REF!,"AAAAAG/XXxU=")</f>
        <v>#REF!</v>
      </c>
      <c r="W57" t="e">
        <f>AND(#REF!,"AAAAAG/XXxY=")</f>
        <v>#REF!</v>
      </c>
      <c r="X57" t="e">
        <f>AND(#REF!,"AAAAAG/XXxc=")</f>
        <v>#REF!</v>
      </c>
      <c r="Y57" t="e">
        <f>AND(#REF!,"AAAAAG/XXxg=")</f>
        <v>#REF!</v>
      </c>
      <c r="Z57" t="e">
        <f>AND(#REF!,"AAAAAG/XXxk=")</f>
        <v>#REF!</v>
      </c>
      <c r="AA57" t="e">
        <f>AND(#REF!,"AAAAAG/XXxo=")</f>
        <v>#REF!</v>
      </c>
      <c r="AB57" t="e">
        <f>AND(#REF!,"AAAAAG/XXxs=")</f>
        <v>#REF!</v>
      </c>
      <c r="AC57" t="e">
        <f>IF(#REF!,"AAAAAG/XXxw=",0)</f>
        <v>#REF!</v>
      </c>
      <c r="AD57" t="e">
        <f>AND(#REF!,"AAAAAG/XXx0=")</f>
        <v>#REF!</v>
      </c>
      <c r="AE57" t="e">
        <f>AND(#REF!,"AAAAAG/XXx4=")</f>
        <v>#REF!</v>
      </c>
      <c r="AF57" t="e">
        <f>AND(#REF!,"AAAAAG/XXx8=")</f>
        <v>#REF!</v>
      </c>
      <c r="AG57" t="e">
        <f>AND(#REF!,"AAAAAG/XXyA=")</f>
        <v>#REF!</v>
      </c>
      <c r="AH57" t="e">
        <f>AND(#REF!,"AAAAAG/XXyE=")</f>
        <v>#REF!</v>
      </c>
      <c r="AI57" t="e">
        <f>AND(#REF!,"AAAAAG/XXyI=")</f>
        <v>#REF!</v>
      </c>
      <c r="AJ57" t="e">
        <f>AND(#REF!,"AAAAAG/XXyM=")</f>
        <v>#REF!</v>
      </c>
      <c r="AK57" t="e">
        <f>AND(#REF!,"AAAAAG/XXyQ=")</f>
        <v>#REF!</v>
      </c>
      <c r="AL57" t="e">
        <f>AND(#REF!,"AAAAAG/XXyU=")</f>
        <v>#REF!</v>
      </c>
      <c r="AM57" t="e">
        <f>AND(#REF!,"AAAAAG/XXyY=")</f>
        <v>#REF!</v>
      </c>
      <c r="AN57" t="e">
        <f>AND(#REF!,"AAAAAG/XXyc=")</f>
        <v>#REF!</v>
      </c>
      <c r="AO57" t="e">
        <f>AND(#REF!,"AAAAAG/XXyg=")</f>
        <v>#REF!</v>
      </c>
      <c r="AP57" t="e">
        <f>AND(#REF!,"AAAAAG/XXyk=")</f>
        <v>#REF!</v>
      </c>
      <c r="AQ57" t="e">
        <f>AND(#REF!,"AAAAAG/XXyo=")</f>
        <v>#REF!</v>
      </c>
      <c r="AR57" t="e">
        <f>AND(#REF!,"AAAAAG/XXys=")</f>
        <v>#REF!</v>
      </c>
      <c r="AS57" t="e">
        <f>AND(#REF!,"AAAAAG/XXyw=")</f>
        <v>#REF!</v>
      </c>
      <c r="AT57" t="e">
        <f>IF(#REF!,"AAAAAG/XXy0=",0)</f>
        <v>#REF!</v>
      </c>
      <c r="AU57" t="e">
        <f>AND(#REF!,"AAAAAG/XXy4=")</f>
        <v>#REF!</v>
      </c>
      <c r="AV57" t="e">
        <f>AND(#REF!,"AAAAAG/XXy8=")</f>
        <v>#REF!</v>
      </c>
      <c r="AW57" t="e">
        <f>AND(#REF!,"AAAAAG/XXzA=")</f>
        <v>#REF!</v>
      </c>
      <c r="AX57" t="e">
        <f>AND(#REF!,"AAAAAG/XXzE=")</f>
        <v>#REF!</v>
      </c>
      <c r="AY57" t="e">
        <f>AND(#REF!,"AAAAAG/XXzI=")</f>
        <v>#REF!</v>
      </c>
      <c r="AZ57" t="e">
        <f>AND(#REF!,"AAAAAG/XXzM=")</f>
        <v>#REF!</v>
      </c>
      <c r="BA57" t="e">
        <f>AND(#REF!,"AAAAAG/XXzQ=")</f>
        <v>#REF!</v>
      </c>
      <c r="BB57" t="e">
        <f>AND(#REF!,"AAAAAG/XXzU=")</f>
        <v>#REF!</v>
      </c>
      <c r="BC57" t="e">
        <f>AND(#REF!,"AAAAAG/XXzY=")</f>
        <v>#REF!</v>
      </c>
      <c r="BD57" t="e">
        <f>AND(#REF!,"AAAAAG/XXzc=")</f>
        <v>#REF!</v>
      </c>
      <c r="BE57" t="e">
        <f>AND(#REF!,"AAAAAG/XXzg=")</f>
        <v>#REF!</v>
      </c>
      <c r="BF57" t="e">
        <f>AND(#REF!,"AAAAAG/XXzk=")</f>
        <v>#REF!</v>
      </c>
      <c r="BG57" t="e">
        <f>AND(#REF!,"AAAAAG/XXzo=")</f>
        <v>#REF!</v>
      </c>
      <c r="BH57" t="e">
        <f>AND(#REF!,"AAAAAG/XXzs=")</f>
        <v>#REF!</v>
      </c>
      <c r="BI57" t="e">
        <f>AND(#REF!,"AAAAAG/XXzw=")</f>
        <v>#REF!</v>
      </c>
      <c r="BJ57" t="e">
        <f>AND(#REF!,"AAAAAG/XXz0=")</f>
        <v>#REF!</v>
      </c>
      <c r="BK57" t="e">
        <f>IF(#REF!,"AAAAAG/XXz4=",0)</f>
        <v>#REF!</v>
      </c>
      <c r="BL57" t="e">
        <f>AND(#REF!,"AAAAAG/XXz8=")</f>
        <v>#REF!</v>
      </c>
      <c r="BM57" t="e">
        <f>AND(#REF!,"AAAAAG/XX0A=")</f>
        <v>#REF!</v>
      </c>
      <c r="BN57" t="e">
        <f>AND(#REF!,"AAAAAG/XX0E=")</f>
        <v>#REF!</v>
      </c>
      <c r="BO57" t="e">
        <f>AND(#REF!,"AAAAAG/XX0I=")</f>
        <v>#REF!</v>
      </c>
      <c r="BP57" t="e">
        <f>AND(#REF!,"AAAAAG/XX0M=")</f>
        <v>#REF!</v>
      </c>
      <c r="BQ57" t="e">
        <f>AND(#REF!,"AAAAAG/XX0Q=")</f>
        <v>#REF!</v>
      </c>
      <c r="BR57" t="e">
        <f>AND(#REF!,"AAAAAG/XX0U=")</f>
        <v>#REF!</v>
      </c>
      <c r="BS57" t="e">
        <f>AND(#REF!,"AAAAAG/XX0Y=")</f>
        <v>#REF!</v>
      </c>
      <c r="BT57" t="e">
        <f>AND(#REF!,"AAAAAG/XX0c=")</f>
        <v>#REF!</v>
      </c>
      <c r="BU57" t="e">
        <f>AND(#REF!,"AAAAAG/XX0g=")</f>
        <v>#REF!</v>
      </c>
      <c r="BV57" t="e">
        <f>AND(#REF!,"AAAAAG/XX0k=")</f>
        <v>#REF!</v>
      </c>
      <c r="BW57" t="e">
        <f>AND(#REF!,"AAAAAG/XX0o=")</f>
        <v>#REF!</v>
      </c>
      <c r="BX57" t="e">
        <f>AND(#REF!,"AAAAAG/XX0s=")</f>
        <v>#REF!</v>
      </c>
      <c r="BY57" t="e">
        <f>AND(#REF!,"AAAAAG/XX0w=")</f>
        <v>#REF!</v>
      </c>
      <c r="BZ57" t="e">
        <f>AND(#REF!,"AAAAAG/XX00=")</f>
        <v>#REF!</v>
      </c>
      <c r="CA57" t="e">
        <f>AND(#REF!,"AAAAAG/XX04=")</f>
        <v>#REF!</v>
      </c>
      <c r="CB57" t="e">
        <f>IF(#REF!,"AAAAAG/XX08=",0)</f>
        <v>#REF!</v>
      </c>
      <c r="CC57" t="e">
        <f>AND(#REF!,"AAAAAG/XX1A=")</f>
        <v>#REF!</v>
      </c>
      <c r="CD57" t="e">
        <f>AND(#REF!,"AAAAAG/XX1E=")</f>
        <v>#REF!</v>
      </c>
      <c r="CE57" t="e">
        <f>AND(#REF!,"AAAAAG/XX1I=")</f>
        <v>#REF!</v>
      </c>
      <c r="CF57" t="e">
        <f>AND(#REF!,"AAAAAG/XX1M=")</f>
        <v>#REF!</v>
      </c>
      <c r="CG57" t="e">
        <f>AND(#REF!,"AAAAAG/XX1Q=")</f>
        <v>#REF!</v>
      </c>
      <c r="CH57" t="e">
        <f>AND(#REF!,"AAAAAG/XX1U=")</f>
        <v>#REF!</v>
      </c>
      <c r="CI57" t="e">
        <f>AND(#REF!,"AAAAAG/XX1Y=")</f>
        <v>#REF!</v>
      </c>
      <c r="CJ57" t="e">
        <f>AND(#REF!,"AAAAAG/XX1c=")</f>
        <v>#REF!</v>
      </c>
      <c r="CK57" t="e">
        <f>AND(#REF!,"AAAAAG/XX1g=")</f>
        <v>#REF!</v>
      </c>
      <c r="CL57" t="e">
        <f>AND(#REF!,"AAAAAG/XX1k=")</f>
        <v>#REF!</v>
      </c>
      <c r="CM57" t="e">
        <f>AND(#REF!,"AAAAAG/XX1o=")</f>
        <v>#REF!</v>
      </c>
      <c r="CN57" t="e">
        <f>AND(#REF!,"AAAAAG/XX1s=")</f>
        <v>#REF!</v>
      </c>
      <c r="CO57" t="e">
        <f>AND(#REF!,"AAAAAG/XX1w=")</f>
        <v>#REF!</v>
      </c>
      <c r="CP57" t="e">
        <f>AND(#REF!,"AAAAAG/XX10=")</f>
        <v>#REF!</v>
      </c>
      <c r="CQ57" t="e">
        <f>AND(#REF!,"AAAAAG/XX14=")</f>
        <v>#REF!</v>
      </c>
      <c r="CR57" t="e">
        <f>AND(#REF!,"AAAAAG/XX18=")</f>
        <v>#REF!</v>
      </c>
      <c r="CS57" t="e">
        <f>IF(#REF!,"AAAAAG/XX2A=",0)</f>
        <v>#REF!</v>
      </c>
      <c r="CT57" t="e">
        <f>AND(#REF!,"AAAAAG/XX2E=")</f>
        <v>#REF!</v>
      </c>
      <c r="CU57" t="e">
        <f>AND(#REF!,"AAAAAG/XX2I=")</f>
        <v>#REF!</v>
      </c>
      <c r="CV57" t="e">
        <f>AND(#REF!,"AAAAAG/XX2M=")</f>
        <v>#REF!</v>
      </c>
      <c r="CW57" t="e">
        <f>AND(#REF!,"AAAAAG/XX2Q=")</f>
        <v>#REF!</v>
      </c>
      <c r="CX57" t="e">
        <f>AND(#REF!,"AAAAAG/XX2U=")</f>
        <v>#REF!</v>
      </c>
      <c r="CY57" t="e">
        <f>AND(#REF!,"AAAAAG/XX2Y=")</f>
        <v>#REF!</v>
      </c>
      <c r="CZ57" t="e">
        <f>AND(#REF!,"AAAAAG/XX2c=")</f>
        <v>#REF!</v>
      </c>
      <c r="DA57" t="e">
        <f>AND(#REF!,"AAAAAG/XX2g=")</f>
        <v>#REF!</v>
      </c>
      <c r="DB57" t="e">
        <f>AND(#REF!,"AAAAAG/XX2k=")</f>
        <v>#REF!</v>
      </c>
      <c r="DC57" t="e">
        <f>AND(#REF!,"AAAAAG/XX2o=")</f>
        <v>#REF!</v>
      </c>
      <c r="DD57" t="e">
        <f>AND(#REF!,"AAAAAG/XX2s=")</f>
        <v>#REF!</v>
      </c>
      <c r="DE57" t="e">
        <f>AND(#REF!,"AAAAAG/XX2w=")</f>
        <v>#REF!</v>
      </c>
      <c r="DF57" t="e">
        <f>AND(#REF!,"AAAAAG/XX20=")</f>
        <v>#REF!</v>
      </c>
      <c r="DG57" t="e">
        <f>AND(#REF!,"AAAAAG/XX24=")</f>
        <v>#REF!</v>
      </c>
      <c r="DH57" t="e">
        <f>AND(#REF!,"AAAAAG/XX28=")</f>
        <v>#REF!</v>
      </c>
      <c r="DI57" t="e">
        <f>AND(#REF!,"AAAAAG/XX3A=")</f>
        <v>#REF!</v>
      </c>
      <c r="DJ57" t="e">
        <f>IF(#REF!,"AAAAAG/XX3E=",0)</f>
        <v>#REF!</v>
      </c>
      <c r="DK57" t="e">
        <f>AND(#REF!,"AAAAAG/XX3I=")</f>
        <v>#REF!</v>
      </c>
      <c r="DL57" t="e">
        <f>AND(#REF!,"AAAAAG/XX3M=")</f>
        <v>#REF!</v>
      </c>
      <c r="DM57" t="e">
        <f>AND(#REF!,"AAAAAG/XX3Q=")</f>
        <v>#REF!</v>
      </c>
      <c r="DN57" t="e">
        <f>AND(#REF!,"AAAAAG/XX3U=")</f>
        <v>#REF!</v>
      </c>
      <c r="DO57" t="e">
        <f>AND(#REF!,"AAAAAG/XX3Y=")</f>
        <v>#REF!</v>
      </c>
      <c r="DP57" t="e">
        <f>AND(#REF!,"AAAAAG/XX3c=")</f>
        <v>#REF!</v>
      </c>
      <c r="DQ57" t="e">
        <f>AND(#REF!,"AAAAAG/XX3g=")</f>
        <v>#REF!</v>
      </c>
      <c r="DR57" t="e">
        <f>AND(#REF!,"AAAAAG/XX3k=")</f>
        <v>#REF!</v>
      </c>
      <c r="DS57" t="e">
        <f>AND(#REF!,"AAAAAG/XX3o=")</f>
        <v>#REF!</v>
      </c>
      <c r="DT57" t="e">
        <f>AND(#REF!,"AAAAAG/XX3s=")</f>
        <v>#REF!</v>
      </c>
      <c r="DU57" t="e">
        <f>AND(#REF!,"AAAAAG/XX3w=")</f>
        <v>#REF!</v>
      </c>
      <c r="DV57" t="e">
        <f>AND(#REF!,"AAAAAG/XX30=")</f>
        <v>#REF!</v>
      </c>
      <c r="DW57" t="e">
        <f>AND(#REF!,"AAAAAG/XX34=")</f>
        <v>#REF!</v>
      </c>
      <c r="DX57" t="e">
        <f>AND(#REF!,"AAAAAG/XX38=")</f>
        <v>#REF!</v>
      </c>
      <c r="DY57" t="e">
        <f>AND(#REF!,"AAAAAG/XX4A=")</f>
        <v>#REF!</v>
      </c>
      <c r="DZ57" t="e">
        <f>AND(#REF!,"AAAAAG/XX4E=")</f>
        <v>#REF!</v>
      </c>
      <c r="EA57" t="e">
        <f>IF(#REF!,"AAAAAG/XX4I=",0)</f>
        <v>#REF!</v>
      </c>
      <c r="EB57" t="e">
        <f>AND(#REF!,"AAAAAG/XX4M=")</f>
        <v>#REF!</v>
      </c>
      <c r="EC57" t="e">
        <f>AND(#REF!,"AAAAAG/XX4Q=")</f>
        <v>#REF!</v>
      </c>
      <c r="ED57" t="e">
        <f>AND(#REF!,"AAAAAG/XX4U=")</f>
        <v>#REF!</v>
      </c>
      <c r="EE57" t="e">
        <f>AND(#REF!,"AAAAAG/XX4Y=")</f>
        <v>#REF!</v>
      </c>
      <c r="EF57" t="e">
        <f>AND(#REF!,"AAAAAG/XX4c=")</f>
        <v>#REF!</v>
      </c>
      <c r="EG57" t="e">
        <f>AND(#REF!,"AAAAAG/XX4g=")</f>
        <v>#REF!</v>
      </c>
      <c r="EH57" t="e">
        <f>AND(#REF!,"AAAAAG/XX4k=")</f>
        <v>#REF!</v>
      </c>
      <c r="EI57" t="e">
        <f>AND(#REF!,"AAAAAG/XX4o=")</f>
        <v>#REF!</v>
      </c>
      <c r="EJ57" t="e">
        <f>AND(#REF!,"AAAAAG/XX4s=")</f>
        <v>#REF!</v>
      </c>
      <c r="EK57" t="e">
        <f>AND(#REF!,"AAAAAG/XX4w=")</f>
        <v>#REF!</v>
      </c>
      <c r="EL57" t="e">
        <f>AND(#REF!,"AAAAAG/XX40=")</f>
        <v>#REF!</v>
      </c>
      <c r="EM57" t="e">
        <f>AND(#REF!,"AAAAAG/XX44=")</f>
        <v>#REF!</v>
      </c>
      <c r="EN57" t="e">
        <f>AND(#REF!,"AAAAAG/XX48=")</f>
        <v>#REF!</v>
      </c>
      <c r="EO57" t="e">
        <f>AND(#REF!,"AAAAAG/XX5A=")</f>
        <v>#REF!</v>
      </c>
      <c r="EP57" t="e">
        <f>AND(#REF!,"AAAAAG/XX5E=")</f>
        <v>#REF!</v>
      </c>
      <c r="EQ57" t="e">
        <f>AND(#REF!,"AAAAAG/XX5I=")</f>
        <v>#REF!</v>
      </c>
      <c r="ER57" t="e">
        <f>IF(#REF!,"AAAAAG/XX5M=",0)</f>
        <v>#REF!</v>
      </c>
      <c r="ES57" t="e">
        <f>AND(#REF!,"AAAAAG/XX5Q=")</f>
        <v>#REF!</v>
      </c>
      <c r="ET57" t="e">
        <f>AND(#REF!,"AAAAAG/XX5U=")</f>
        <v>#REF!</v>
      </c>
      <c r="EU57" t="e">
        <f>AND(#REF!,"AAAAAG/XX5Y=")</f>
        <v>#REF!</v>
      </c>
      <c r="EV57" t="e">
        <f>AND(#REF!,"AAAAAG/XX5c=")</f>
        <v>#REF!</v>
      </c>
      <c r="EW57" t="e">
        <f>AND(#REF!,"AAAAAG/XX5g=")</f>
        <v>#REF!</v>
      </c>
      <c r="EX57" t="e">
        <f>AND(#REF!,"AAAAAG/XX5k=")</f>
        <v>#REF!</v>
      </c>
      <c r="EY57" t="e">
        <f>AND(#REF!,"AAAAAG/XX5o=")</f>
        <v>#REF!</v>
      </c>
      <c r="EZ57" t="e">
        <f>AND(#REF!,"AAAAAG/XX5s=")</f>
        <v>#REF!</v>
      </c>
      <c r="FA57" t="e">
        <f>AND(#REF!,"AAAAAG/XX5w=")</f>
        <v>#REF!</v>
      </c>
      <c r="FB57" t="e">
        <f>AND(#REF!,"AAAAAG/XX50=")</f>
        <v>#REF!</v>
      </c>
      <c r="FC57" t="e">
        <f>AND(#REF!,"AAAAAG/XX54=")</f>
        <v>#REF!</v>
      </c>
      <c r="FD57" t="e">
        <f>AND(#REF!,"AAAAAG/XX58=")</f>
        <v>#REF!</v>
      </c>
      <c r="FE57" t="e">
        <f>AND(#REF!,"AAAAAG/XX6A=")</f>
        <v>#REF!</v>
      </c>
      <c r="FF57" t="e">
        <f>AND(#REF!,"AAAAAG/XX6E=")</f>
        <v>#REF!</v>
      </c>
      <c r="FG57" t="e">
        <f>AND(#REF!,"AAAAAG/XX6I=")</f>
        <v>#REF!</v>
      </c>
      <c r="FH57" t="e">
        <f>AND(#REF!,"AAAAAG/XX6M=")</f>
        <v>#REF!</v>
      </c>
      <c r="FI57" t="e">
        <f>IF(#REF!,"AAAAAG/XX6Q=",0)</f>
        <v>#REF!</v>
      </c>
      <c r="FJ57" t="e">
        <f>AND(#REF!,"AAAAAG/XX6U=")</f>
        <v>#REF!</v>
      </c>
      <c r="FK57" t="e">
        <f>AND(#REF!,"AAAAAG/XX6Y=")</f>
        <v>#REF!</v>
      </c>
      <c r="FL57" t="e">
        <f>AND(#REF!,"AAAAAG/XX6c=")</f>
        <v>#REF!</v>
      </c>
      <c r="FM57" t="e">
        <f>AND(#REF!,"AAAAAG/XX6g=")</f>
        <v>#REF!</v>
      </c>
      <c r="FN57" t="e">
        <f>AND(#REF!,"AAAAAG/XX6k=")</f>
        <v>#REF!</v>
      </c>
      <c r="FO57" t="e">
        <f>AND(#REF!,"AAAAAG/XX6o=")</f>
        <v>#REF!</v>
      </c>
      <c r="FP57" t="e">
        <f>AND(#REF!,"AAAAAG/XX6s=")</f>
        <v>#REF!</v>
      </c>
      <c r="FQ57" t="e">
        <f>AND(#REF!,"AAAAAG/XX6w=")</f>
        <v>#REF!</v>
      </c>
      <c r="FR57" t="e">
        <f>AND(#REF!,"AAAAAG/XX60=")</f>
        <v>#REF!</v>
      </c>
      <c r="FS57" t="e">
        <f>AND(#REF!,"AAAAAG/XX64=")</f>
        <v>#REF!</v>
      </c>
      <c r="FT57" t="e">
        <f>AND(#REF!,"AAAAAG/XX68=")</f>
        <v>#REF!</v>
      </c>
      <c r="FU57" t="e">
        <f>AND(#REF!,"AAAAAG/XX7A=")</f>
        <v>#REF!</v>
      </c>
      <c r="FV57" t="e">
        <f>AND(#REF!,"AAAAAG/XX7E=")</f>
        <v>#REF!</v>
      </c>
      <c r="FW57" t="e">
        <f>AND(#REF!,"AAAAAG/XX7I=")</f>
        <v>#REF!</v>
      </c>
      <c r="FX57" t="e">
        <f>AND(#REF!,"AAAAAG/XX7M=")</f>
        <v>#REF!</v>
      </c>
      <c r="FY57" t="e">
        <f>AND(#REF!,"AAAAAG/XX7Q=")</f>
        <v>#REF!</v>
      </c>
      <c r="FZ57" t="e">
        <f>IF(#REF!,"AAAAAG/XX7U=",0)</f>
        <v>#REF!</v>
      </c>
      <c r="GA57" t="e">
        <f>AND(#REF!,"AAAAAG/XX7Y=")</f>
        <v>#REF!</v>
      </c>
      <c r="GB57" t="e">
        <f>AND(#REF!,"AAAAAG/XX7c=")</f>
        <v>#REF!</v>
      </c>
      <c r="GC57" t="e">
        <f>AND(#REF!,"AAAAAG/XX7g=")</f>
        <v>#REF!</v>
      </c>
      <c r="GD57" t="e">
        <f>AND(#REF!,"AAAAAG/XX7k=")</f>
        <v>#REF!</v>
      </c>
      <c r="GE57" t="e">
        <f>AND(#REF!,"AAAAAG/XX7o=")</f>
        <v>#REF!</v>
      </c>
      <c r="GF57" t="e">
        <f>AND(#REF!,"AAAAAG/XX7s=")</f>
        <v>#REF!</v>
      </c>
      <c r="GG57" t="e">
        <f>AND(#REF!,"AAAAAG/XX7w=")</f>
        <v>#REF!</v>
      </c>
      <c r="GH57" t="e">
        <f>AND(#REF!,"AAAAAG/XX70=")</f>
        <v>#REF!</v>
      </c>
      <c r="GI57" t="e">
        <f>AND(#REF!,"AAAAAG/XX74=")</f>
        <v>#REF!</v>
      </c>
      <c r="GJ57" t="e">
        <f>AND(#REF!,"AAAAAG/XX78=")</f>
        <v>#REF!</v>
      </c>
      <c r="GK57" t="e">
        <f>AND(#REF!,"AAAAAG/XX8A=")</f>
        <v>#REF!</v>
      </c>
      <c r="GL57" t="e">
        <f>AND(#REF!,"AAAAAG/XX8E=")</f>
        <v>#REF!</v>
      </c>
      <c r="GM57" t="e">
        <f>AND(#REF!,"AAAAAG/XX8I=")</f>
        <v>#REF!</v>
      </c>
      <c r="GN57" t="e">
        <f>AND(#REF!,"AAAAAG/XX8M=")</f>
        <v>#REF!</v>
      </c>
      <c r="GO57" t="e">
        <f>AND(#REF!,"AAAAAG/XX8Q=")</f>
        <v>#REF!</v>
      </c>
      <c r="GP57" t="e">
        <f>AND(#REF!,"AAAAAG/XX8U=")</f>
        <v>#REF!</v>
      </c>
      <c r="GQ57" t="e">
        <f>IF(#REF!,"AAAAAG/XX8Y=",0)</f>
        <v>#REF!</v>
      </c>
      <c r="GR57" t="e">
        <f>AND(#REF!,"AAAAAG/XX8c=")</f>
        <v>#REF!</v>
      </c>
      <c r="GS57" t="e">
        <f>AND(#REF!,"AAAAAG/XX8g=")</f>
        <v>#REF!</v>
      </c>
      <c r="GT57" t="e">
        <f>AND(#REF!,"AAAAAG/XX8k=")</f>
        <v>#REF!</v>
      </c>
      <c r="GU57" t="e">
        <f>AND(#REF!,"AAAAAG/XX8o=")</f>
        <v>#REF!</v>
      </c>
      <c r="GV57" t="e">
        <f>AND(#REF!,"AAAAAG/XX8s=")</f>
        <v>#REF!</v>
      </c>
      <c r="GW57" t="e">
        <f>AND(#REF!,"AAAAAG/XX8w=")</f>
        <v>#REF!</v>
      </c>
      <c r="GX57" t="e">
        <f>AND(#REF!,"AAAAAG/XX80=")</f>
        <v>#REF!</v>
      </c>
      <c r="GY57" t="e">
        <f>AND(#REF!,"AAAAAG/XX84=")</f>
        <v>#REF!</v>
      </c>
      <c r="GZ57" t="e">
        <f>AND(#REF!,"AAAAAG/XX88=")</f>
        <v>#REF!</v>
      </c>
      <c r="HA57" t="e">
        <f>AND(#REF!,"AAAAAG/XX9A=")</f>
        <v>#REF!</v>
      </c>
      <c r="HB57" t="e">
        <f>AND(#REF!,"AAAAAG/XX9E=")</f>
        <v>#REF!</v>
      </c>
      <c r="HC57" t="e">
        <f>AND(#REF!,"AAAAAG/XX9I=")</f>
        <v>#REF!</v>
      </c>
      <c r="HD57" t="e">
        <f>AND(#REF!,"AAAAAG/XX9M=")</f>
        <v>#REF!</v>
      </c>
      <c r="HE57" t="e">
        <f>AND(#REF!,"AAAAAG/XX9Q=")</f>
        <v>#REF!</v>
      </c>
      <c r="HF57" t="e">
        <f>AND(#REF!,"AAAAAG/XX9U=")</f>
        <v>#REF!</v>
      </c>
      <c r="HG57" t="e">
        <f>AND(#REF!,"AAAAAG/XX9Y=")</f>
        <v>#REF!</v>
      </c>
      <c r="HH57" t="e">
        <f>IF(#REF!,"AAAAAG/XX9c=",0)</f>
        <v>#REF!</v>
      </c>
      <c r="HI57" t="e">
        <f>AND(#REF!,"AAAAAG/XX9g=")</f>
        <v>#REF!</v>
      </c>
      <c r="HJ57" t="e">
        <f>AND(#REF!,"AAAAAG/XX9k=")</f>
        <v>#REF!</v>
      </c>
      <c r="HK57" t="e">
        <f>AND(#REF!,"AAAAAG/XX9o=")</f>
        <v>#REF!</v>
      </c>
      <c r="HL57" t="e">
        <f>AND(#REF!,"AAAAAG/XX9s=")</f>
        <v>#REF!</v>
      </c>
      <c r="HM57" t="e">
        <f>AND(#REF!,"AAAAAG/XX9w=")</f>
        <v>#REF!</v>
      </c>
      <c r="HN57" t="e">
        <f>AND(#REF!,"AAAAAG/XX90=")</f>
        <v>#REF!</v>
      </c>
      <c r="HO57" t="e">
        <f>AND(#REF!,"AAAAAG/XX94=")</f>
        <v>#REF!</v>
      </c>
      <c r="HP57" t="e">
        <f>AND(#REF!,"AAAAAG/XX98=")</f>
        <v>#REF!</v>
      </c>
      <c r="HQ57" t="e">
        <f>AND(#REF!,"AAAAAG/XX+A=")</f>
        <v>#REF!</v>
      </c>
      <c r="HR57" t="e">
        <f>AND(#REF!,"AAAAAG/XX+E=")</f>
        <v>#REF!</v>
      </c>
      <c r="HS57" t="e">
        <f>AND(#REF!,"AAAAAG/XX+I=")</f>
        <v>#REF!</v>
      </c>
      <c r="HT57" t="e">
        <f>AND(#REF!,"AAAAAG/XX+M=")</f>
        <v>#REF!</v>
      </c>
      <c r="HU57" t="e">
        <f>AND(#REF!,"AAAAAG/XX+Q=")</f>
        <v>#REF!</v>
      </c>
      <c r="HV57" t="e">
        <f>AND(#REF!,"AAAAAG/XX+U=")</f>
        <v>#REF!</v>
      </c>
      <c r="HW57" t="e">
        <f>AND(#REF!,"AAAAAG/XX+Y=")</f>
        <v>#REF!</v>
      </c>
      <c r="HX57" t="e">
        <f>AND(#REF!,"AAAAAG/XX+c=")</f>
        <v>#REF!</v>
      </c>
      <c r="HY57" t="e">
        <f>IF(#REF!,"AAAAAG/XX+g=",0)</f>
        <v>#REF!</v>
      </c>
      <c r="HZ57" t="e">
        <f>AND(#REF!,"AAAAAG/XX+k=")</f>
        <v>#REF!</v>
      </c>
      <c r="IA57" t="e">
        <f>AND(#REF!,"AAAAAG/XX+o=")</f>
        <v>#REF!</v>
      </c>
      <c r="IB57" t="e">
        <f>AND(#REF!,"AAAAAG/XX+s=")</f>
        <v>#REF!</v>
      </c>
      <c r="IC57" t="e">
        <f>AND(#REF!,"AAAAAG/XX+w=")</f>
        <v>#REF!</v>
      </c>
      <c r="ID57" t="e">
        <f>AND(#REF!,"AAAAAG/XX+0=")</f>
        <v>#REF!</v>
      </c>
      <c r="IE57" t="e">
        <f>AND(#REF!,"AAAAAG/XX+4=")</f>
        <v>#REF!</v>
      </c>
      <c r="IF57" t="e">
        <f>AND(#REF!,"AAAAAG/XX+8=")</f>
        <v>#REF!</v>
      </c>
      <c r="IG57" t="e">
        <f>AND(#REF!,"AAAAAG/XX/A=")</f>
        <v>#REF!</v>
      </c>
      <c r="IH57" t="e">
        <f>AND(#REF!,"AAAAAG/XX/E=")</f>
        <v>#REF!</v>
      </c>
      <c r="II57" t="e">
        <f>AND(#REF!,"AAAAAG/XX/I=")</f>
        <v>#REF!</v>
      </c>
      <c r="IJ57" t="e">
        <f>AND(#REF!,"AAAAAG/XX/M=")</f>
        <v>#REF!</v>
      </c>
      <c r="IK57" t="e">
        <f>AND(#REF!,"AAAAAG/XX/Q=")</f>
        <v>#REF!</v>
      </c>
      <c r="IL57" t="e">
        <f>AND(#REF!,"AAAAAG/XX/U=")</f>
        <v>#REF!</v>
      </c>
      <c r="IM57" t="e">
        <f>AND(#REF!,"AAAAAG/XX/Y=")</f>
        <v>#REF!</v>
      </c>
      <c r="IN57" t="e">
        <f>AND(#REF!,"AAAAAG/XX/c=")</f>
        <v>#REF!</v>
      </c>
      <c r="IO57" t="e">
        <f>AND(#REF!,"AAAAAG/XX/g=")</f>
        <v>#REF!</v>
      </c>
      <c r="IP57" t="e">
        <f>IF(#REF!,"AAAAAG/XX/k=",0)</f>
        <v>#REF!</v>
      </c>
      <c r="IQ57" t="e">
        <f>AND(#REF!,"AAAAAG/XX/o=")</f>
        <v>#REF!</v>
      </c>
      <c r="IR57" t="e">
        <f>AND(#REF!,"AAAAAG/XX/s=")</f>
        <v>#REF!</v>
      </c>
      <c r="IS57" t="e">
        <f>AND(#REF!,"AAAAAG/XX/w=")</f>
        <v>#REF!</v>
      </c>
      <c r="IT57" t="e">
        <f>AND(#REF!,"AAAAAG/XX/0=")</f>
        <v>#REF!</v>
      </c>
      <c r="IU57" t="e">
        <f>AND(#REF!,"AAAAAG/XX/4=")</f>
        <v>#REF!</v>
      </c>
      <c r="IV57" t="e">
        <f>AND(#REF!,"AAAAAG/XX/8=")</f>
        <v>#REF!</v>
      </c>
    </row>
    <row r="58" spans="1:256" x14ac:dyDescent="0.25">
      <c r="A58" t="e">
        <f>AND(#REF!,"AAAAAGvTjQA=")</f>
        <v>#REF!</v>
      </c>
      <c r="B58" t="e">
        <f>AND(#REF!,"AAAAAGvTjQE=")</f>
        <v>#REF!</v>
      </c>
      <c r="C58" t="e">
        <f>AND(#REF!,"AAAAAGvTjQI=")</f>
        <v>#REF!</v>
      </c>
      <c r="D58" t="e">
        <f>AND(#REF!,"AAAAAGvTjQM=")</f>
        <v>#REF!</v>
      </c>
      <c r="E58" t="e">
        <f>AND(#REF!,"AAAAAGvTjQQ=")</f>
        <v>#REF!</v>
      </c>
      <c r="F58" t="e">
        <f>AND(#REF!,"AAAAAGvTjQU=")</f>
        <v>#REF!</v>
      </c>
      <c r="G58" t="e">
        <f>AND(#REF!,"AAAAAGvTjQY=")</f>
        <v>#REF!</v>
      </c>
      <c r="H58" t="e">
        <f>AND(#REF!,"AAAAAGvTjQc=")</f>
        <v>#REF!</v>
      </c>
      <c r="I58" t="e">
        <f>AND(#REF!,"AAAAAGvTjQg=")</f>
        <v>#REF!</v>
      </c>
      <c r="J58" t="e">
        <f>AND(#REF!,"AAAAAGvTjQk=")</f>
        <v>#REF!</v>
      </c>
      <c r="K58" t="e">
        <f>IF(#REF!,"AAAAAGvTjQo=",0)</f>
        <v>#REF!</v>
      </c>
      <c r="L58" t="e">
        <f>AND(#REF!,"AAAAAGvTjQs=")</f>
        <v>#REF!</v>
      </c>
      <c r="M58" t="e">
        <f>AND(#REF!,"AAAAAGvTjQw=")</f>
        <v>#REF!</v>
      </c>
      <c r="N58" t="e">
        <f>AND(#REF!,"AAAAAGvTjQ0=")</f>
        <v>#REF!</v>
      </c>
      <c r="O58" t="e">
        <f>AND(#REF!,"AAAAAGvTjQ4=")</f>
        <v>#REF!</v>
      </c>
      <c r="P58" t="e">
        <f>AND(#REF!,"AAAAAGvTjQ8=")</f>
        <v>#REF!</v>
      </c>
      <c r="Q58" t="e">
        <f>AND(#REF!,"AAAAAGvTjRA=")</f>
        <v>#REF!</v>
      </c>
      <c r="R58" t="e">
        <f>AND(#REF!,"AAAAAGvTjRE=")</f>
        <v>#REF!</v>
      </c>
      <c r="S58" t="e">
        <f>AND(#REF!,"AAAAAGvTjRI=")</f>
        <v>#REF!</v>
      </c>
      <c r="T58" t="e">
        <f>AND(#REF!,"AAAAAGvTjRM=")</f>
        <v>#REF!</v>
      </c>
      <c r="U58" t="e">
        <f>AND(#REF!,"AAAAAGvTjRQ=")</f>
        <v>#REF!</v>
      </c>
      <c r="V58" t="e">
        <f>AND(#REF!,"AAAAAGvTjRU=")</f>
        <v>#REF!</v>
      </c>
      <c r="W58" t="e">
        <f>AND(#REF!,"AAAAAGvTjRY=")</f>
        <v>#REF!</v>
      </c>
      <c r="X58" t="e">
        <f>AND(#REF!,"AAAAAGvTjRc=")</f>
        <v>#REF!</v>
      </c>
      <c r="Y58" t="e">
        <f>AND(#REF!,"AAAAAGvTjRg=")</f>
        <v>#REF!</v>
      </c>
      <c r="Z58" t="e">
        <f>AND(#REF!,"AAAAAGvTjRk=")</f>
        <v>#REF!</v>
      </c>
      <c r="AA58" t="e">
        <f>AND(#REF!,"AAAAAGvTjRo=")</f>
        <v>#REF!</v>
      </c>
      <c r="AB58" t="e">
        <f>IF(#REF!,"AAAAAGvTjRs=",0)</f>
        <v>#REF!</v>
      </c>
      <c r="AC58" t="e">
        <f>AND(#REF!,"AAAAAGvTjRw=")</f>
        <v>#REF!</v>
      </c>
      <c r="AD58" t="e">
        <f>AND(#REF!,"AAAAAGvTjR0=")</f>
        <v>#REF!</v>
      </c>
      <c r="AE58" t="e">
        <f>AND(#REF!,"AAAAAGvTjR4=")</f>
        <v>#REF!</v>
      </c>
      <c r="AF58" t="e">
        <f>AND(#REF!,"AAAAAGvTjR8=")</f>
        <v>#REF!</v>
      </c>
      <c r="AG58" t="e">
        <f>AND(#REF!,"AAAAAGvTjSA=")</f>
        <v>#REF!</v>
      </c>
      <c r="AH58" t="e">
        <f>AND(#REF!,"AAAAAGvTjSE=")</f>
        <v>#REF!</v>
      </c>
      <c r="AI58" t="e">
        <f>AND(#REF!,"AAAAAGvTjSI=")</f>
        <v>#REF!</v>
      </c>
      <c r="AJ58" t="e">
        <f>AND(#REF!,"AAAAAGvTjSM=")</f>
        <v>#REF!</v>
      </c>
      <c r="AK58" t="e">
        <f>AND(#REF!,"AAAAAGvTjSQ=")</f>
        <v>#REF!</v>
      </c>
      <c r="AL58" t="e">
        <f>AND(#REF!,"AAAAAGvTjSU=")</f>
        <v>#REF!</v>
      </c>
      <c r="AM58" t="e">
        <f>AND(#REF!,"AAAAAGvTjSY=")</f>
        <v>#REF!</v>
      </c>
      <c r="AN58" t="e">
        <f>AND(#REF!,"AAAAAGvTjSc=")</f>
        <v>#REF!</v>
      </c>
      <c r="AO58" t="e">
        <f>AND(#REF!,"AAAAAGvTjSg=")</f>
        <v>#REF!</v>
      </c>
      <c r="AP58" t="e">
        <f>AND(#REF!,"AAAAAGvTjSk=")</f>
        <v>#REF!</v>
      </c>
      <c r="AQ58" t="e">
        <f>AND(#REF!,"AAAAAGvTjSo=")</f>
        <v>#REF!</v>
      </c>
      <c r="AR58" t="e">
        <f>AND(#REF!,"AAAAAGvTjSs=")</f>
        <v>#REF!</v>
      </c>
      <c r="AS58" t="e">
        <f>IF(#REF!,"AAAAAGvTjSw=",0)</f>
        <v>#REF!</v>
      </c>
      <c r="AT58" t="e">
        <f>AND(#REF!,"AAAAAGvTjS0=")</f>
        <v>#REF!</v>
      </c>
      <c r="AU58" t="e">
        <f>AND(#REF!,"AAAAAGvTjS4=")</f>
        <v>#REF!</v>
      </c>
      <c r="AV58" t="e">
        <f>AND(#REF!,"AAAAAGvTjS8=")</f>
        <v>#REF!</v>
      </c>
      <c r="AW58" t="e">
        <f>AND(#REF!,"AAAAAGvTjTA=")</f>
        <v>#REF!</v>
      </c>
      <c r="AX58" t="e">
        <f>AND(#REF!,"AAAAAGvTjTE=")</f>
        <v>#REF!</v>
      </c>
      <c r="AY58" t="e">
        <f>AND(#REF!,"AAAAAGvTjTI=")</f>
        <v>#REF!</v>
      </c>
      <c r="AZ58" t="e">
        <f>AND(#REF!,"AAAAAGvTjTM=")</f>
        <v>#REF!</v>
      </c>
      <c r="BA58" t="e">
        <f>AND(#REF!,"AAAAAGvTjTQ=")</f>
        <v>#REF!</v>
      </c>
      <c r="BB58" t="e">
        <f>AND(#REF!,"AAAAAGvTjTU=")</f>
        <v>#REF!</v>
      </c>
      <c r="BC58" t="e">
        <f>AND(#REF!,"AAAAAGvTjTY=")</f>
        <v>#REF!</v>
      </c>
      <c r="BD58" t="e">
        <f>AND(#REF!,"AAAAAGvTjTc=")</f>
        <v>#REF!</v>
      </c>
      <c r="BE58" t="e">
        <f>AND(#REF!,"AAAAAGvTjTg=")</f>
        <v>#REF!</v>
      </c>
      <c r="BF58" t="e">
        <f>AND(#REF!,"AAAAAGvTjTk=")</f>
        <v>#REF!</v>
      </c>
      <c r="BG58" t="e">
        <f>AND(#REF!,"AAAAAGvTjTo=")</f>
        <v>#REF!</v>
      </c>
      <c r="BH58" t="e">
        <f>AND(#REF!,"AAAAAGvTjTs=")</f>
        <v>#REF!</v>
      </c>
      <c r="BI58" t="e">
        <f>AND(#REF!,"AAAAAGvTjTw=")</f>
        <v>#REF!</v>
      </c>
      <c r="BJ58" t="e">
        <f>IF(#REF!,"AAAAAGvTjT0=",0)</f>
        <v>#REF!</v>
      </c>
      <c r="BK58" t="e">
        <f>AND(#REF!,"AAAAAGvTjT4=")</f>
        <v>#REF!</v>
      </c>
      <c r="BL58" t="e">
        <f>AND(#REF!,"AAAAAGvTjT8=")</f>
        <v>#REF!</v>
      </c>
      <c r="BM58" t="e">
        <f>AND(#REF!,"AAAAAGvTjUA=")</f>
        <v>#REF!</v>
      </c>
      <c r="BN58" t="e">
        <f>AND(#REF!,"AAAAAGvTjUE=")</f>
        <v>#REF!</v>
      </c>
      <c r="BO58" t="e">
        <f>AND(#REF!,"AAAAAGvTjUI=")</f>
        <v>#REF!</v>
      </c>
      <c r="BP58" t="e">
        <f>AND(#REF!,"AAAAAGvTjUM=")</f>
        <v>#REF!</v>
      </c>
      <c r="BQ58" t="e">
        <f>AND(#REF!,"AAAAAGvTjUQ=")</f>
        <v>#REF!</v>
      </c>
      <c r="BR58" t="e">
        <f>AND(#REF!,"AAAAAGvTjUU=")</f>
        <v>#REF!</v>
      </c>
      <c r="BS58" t="e">
        <f>AND(#REF!,"AAAAAGvTjUY=")</f>
        <v>#REF!</v>
      </c>
      <c r="BT58" t="e">
        <f>AND(#REF!,"AAAAAGvTjUc=")</f>
        <v>#REF!</v>
      </c>
      <c r="BU58" t="e">
        <f>AND(#REF!,"AAAAAGvTjUg=")</f>
        <v>#REF!</v>
      </c>
      <c r="BV58" t="e">
        <f>AND(#REF!,"AAAAAGvTjUk=")</f>
        <v>#REF!</v>
      </c>
      <c r="BW58" t="e">
        <f>AND(#REF!,"AAAAAGvTjUo=")</f>
        <v>#REF!</v>
      </c>
      <c r="BX58" t="e">
        <f>AND(#REF!,"AAAAAGvTjUs=")</f>
        <v>#REF!</v>
      </c>
      <c r="BY58" t="e">
        <f>AND(#REF!,"AAAAAGvTjUw=")</f>
        <v>#REF!</v>
      </c>
      <c r="BZ58" t="e">
        <f>AND(#REF!,"AAAAAGvTjU0=")</f>
        <v>#REF!</v>
      </c>
      <c r="CA58" t="e">
        <f>IF(#REF!,"AAAAAGvTjU4=",0)</f>
        <v>#REF!</v>
      </c>
      <c r="CB58" t="e">
        <f>AND(#REF!,"AAAAAGvTjU8=")</f>
        <v>#REF!</v>
      </c>
      <c r="CC58" t="e">
        <f>AND(#REF!,"AAAAAGvTjVA=")</f>
        <v>#REF!</v>
      </c>
      <c r="CD58" t="e">
        <f>AND(#REF!,"AAAAAGvTjVE=")</f>
        <v>#REF!</v>
      </c>
      <c r="CE58" t="e">
        <f>AND(#REF!,"AAAAAGvTjVI=")</f>
        <v>#REF!</v>
      </c>
      <c r="CF58" t="e">
        <f>AND(#REF!,"AAAAAGvTjVM=")</f>
        <v>#REF!</v>
      </c>
      <c r="CG58" t="e">
        <f>AND(#REF!,"AAAAAGvTjVQ=")</f>
        <v>#REF!</v>
      </c>
      <c r="CH58" t="e">
        <f>AND(#REF!,"AAAAAGvTjVU=")</f>
        <v>#REF!</v>
      </c>
      <c r="CI58" t="e">
        <f>AND(#REF!,"AAAAAGvTjVY=")</f>
        <v>#REF!</v>
      </c>
      <c r="CJ58" t="e">
        <f>AND(#REF!,"AAAAAGvTjVc=")</f>
        <v>#REF!</v>
      </c>
      <c r="CK58" t="e">
        <f>AND(#REF!,"AAAAAGvTjVg=")</f>
        <v>#REF!</v>
      </c>
      <c r="CL58" t="e">
        <f>AND(#REF!,"AAAAAGvTjVk=")</f>
        <v>#REF!</v>
      </c>
      <c r="CM58" t="e">
        <f>AND(#REF!,"AAAAAGvTjVo=")</f>
        <v>#REF!</v>
      </c>
      <c r="CN58" t="e">
        <f>AND(#REF!,"AAAAAGvTjVs=")</f>
        <v>#REF!</v>
      </c>
      <c r="CO58" t="e">
        <f>AND(#REF!,"AAAAAGvTjVw=")</f>
        <v>#REF!</v>
      </c>
      <c r="CP58" t="e">
        <f>AND(#REF!,"AAAAAGvTjV0=")</f>
        <v>#REF!</v>
      </c>
      <c r="CQ58" t="e">
        <f>AND(#REF!,"AAAAAGvTjV4=")</f>
        <v>#REF!</v>
      </c>
      <c r="CR58" t="e">
        <f>IF(#REF!,"AAAAAGvTjV8=",0)</f>
        <v>#REF!</v>
      </c>
      <c r="CS58" t="e">
        <f>AND(#REF!,"AAAAAGvTjWA=")</f>
        <v>#REF!</v>
      </c>
      <c r="CT58" t="e">
        <f>AND(#REF!,"AAAAAGvTjWE=")</f>
        <v>#REF!</v>
      </c>
      <c r="CU58" t="e">
        <f>AND(#REF!,"AAAAAGvTjWI=")</f>
        <v>#REF!</v>
      </c>
      <c r="CV58" t="e">
        <f>AND(#REF!,"AAAAAGvTjWM=")</f>
        <v>#REF!</v>
      </c>
      <c r="CW58" t="e">
        <f>AND(#REF!,"AAAAAGvTjWQ=")</f>
        <v>#REF!</v>
      </c>
      <c r="CX58" t="e">
        <f>AND(#REF!,"AAAAAGvTjWU=")</f>
        <v>#REF!</v>
      </c>
      <c r="CY58" t="e">
        <f>AND(#REF!,"AAAAAGvTjWY=")</f>
        <v>#REF!</v>
      </c>
      <c r="CZ58" t="e">
        <f>AND(#REF!,"AAAAAGvTjWc=")</f>
        <v>#REF!</v>
      </c>
      <c r="DA58" t="e">
        <f>AND(#REF!,"AAAAAGvTjWg=")</f>
        <v>#REF!</v>
      </c>
      <c r="DB58" t="e">
        <f>AND(#REF!,"AAAAAGvTjWk=")</f>
        <v>#REF!</v>
      </c>
      <c r="DC58" t="e">
        <f>AND(#REF!,"AAAAAGvTjWo=")</f>
        <v>#REF!</v>
      </c>
      <c r="DD58" t="e">
        <f>AND(#REF!,"AAAAAGvTjWs=")</f>
        <v>#REF!</v>
      </c>
      <c r="DE58" t="e">
        <f>AND(#REF!,"AAAAAGvTjWw=")</f>
        <v>#REF!</v>
      </c>
      <c r="DF58" t="e">
        <f>AND(#REF!,"AAAAAGvTjW0=")</f>
        <v>#REF!</v>
      </c>
      <c r="DG58" t="e">
        <f>AND(#REF!,"AAAAAGvTjW4=")</f>
        <v>#REF!</v>
      </c>
      <c r="DH58" t="e">
        <f>AND(#REF!,"AAAAAGvTjW8=")</f>
        <v>#REF!</v>
      </c>
      <c r="DI58" t="e">
        <f>IF(#REF!,"AAAAAGvTjXA=",0)</f>
        <v>#REF!</v>
      </c>
      <c r="DJ58" t="e">
        <f>AND(#REF!,"AAAAAGvTjXE=")</f>
        <v>#REF!</v>
      </c>
      <c r="DK58" t="e">
        <f>AND(#REF!,"AAAAAGvTjXI=")</f>
        <v>#REF!</v>
      </c>
      <c r="DL58" t="e">
        <f>AND(#REF!,"AAAAAGvTjXM=")</f>
        <v>#REF!</v>
      </c>
      <c r="DM58" t="e">
        <f>AND(#REF!,"AAAAAGvTjXQ=")</f>
        <v>#REF!</v>
      </c>
      <c r="DN58" t="e">
        <f>AND(#REF!,"AAAAAGvTjXU=")</f>
        <v>#REF!</v>
      </c>
      <c r="DO58" t="e">
        <f>AND(#REF!,"AAAAAGvTjXY=")</f>
        <v>#REF!</v>
      </c>
      <c r="DP58" t="e">
        <f>AND(#REF!,"AAAAAGvTjXc=")</f>
        <v>#REF!</v>
      </c>
      <c r="DQ58" t="e">
        <f>AND(#REF!,"AAAAAGvTjXg=")</f>
        <v>#REF!</v>
      </c>
      <c r="DR58" t="e">
        <f>AND(#REF!,"AAAAAGvTjXk=")</f>
        <v>#REF!</v>
      </c>
      <c r="DS58" t="e">
        <f>AND(#REF!,"AAAAAGvTjXo=")</f>
        <v>#REF!</v>
      </c>
      <c r="DT58" t="e">
        <f>AND(#REF!,"AAAAAGvTjXs=")</f>
        <v>#REF!</v>
      </c>
      <c r="DU58" t="e">
        <f>AND(#REF!,"AAAAAGvTjXw=")</f>
        <v>#REF!</v>
      </c>
      <c r="DV58" t="e">
        <f>AND(#REF!,"AAAAAGvTjX0=")</f>
        <v>#REF!</v>
      </c>
      <c r="DW58" t="e">
        <f>AND(#REF!,"AAAAAGvTjX4=")</f>
        <v>#REF!</v>
      </c>
      <c r="DX58" t="e">
        <f>AND(#REF!,"AAAAAGvTjX8=")</f>
        <v>#REF!</v>
      </c>
      <c r="DY58" t="e">
        <f>AND(#REF!,"AAAAAGvTjYA=")</f>
        <v>#REF!</v>
      </c>
      <c r="DZ58" t="e">
        <f>IF(#REF!,"AAAAAGvTjYE=",0)</f>
        <v>#REF!</v>
      </c>
      <c r="EA58" t="e">
        <f>AND(#REF!,"AAAAAGvTjYI=")</f>
        <v>#REF!</v>
      </c>
      <c r="EB58" t="e">
        <f>AND(#REF!,"AAAAAGvTjYM=")</f>
        <v>#REF!</v>
      </c>
      <c r="EC58" t="e">
        <f>AND(#REF!,"AAAAAGvTjYQ=")</f>
        <v>#REF!</v>
      </c>
      <c r="ED58" t="e">
        <f>AND(#REF!,"AAAAAGvTjYU=")</f>
        <v>#REF!</v>
      </c>
      <c r="EE58" t="e">
        <f>AND(#REF!,"AAAAAGvTjYY=")</f>
        <v>#REF!</v>
      </c>
      <c r="EF58" t="e">
        <f>AND(#REF!,"AAAAAGvTjYc=")</f>
        <v>#REF!</v>
      </c>
      <c r="EG58" t="e">
        <f>AND(#REF!,"AAAAAGvTjYg=")</f>
        <v>#REF!</v>
      </c>
      <c r="EH58" t="e">
        <f>AND(#REF!,"AAAAAGvTjYk=")</f>
        <v>#REF!</v>
      </c>
      <c r="EI58" t="e">
        <f>AND(#REF!,"AAAAAGvTjYo=")</f>
        <v>#REF!</v>
      </c>
      <c r="EJ58" t="e">
        <f>AND(#REF!,"AAAAAGvTjYs=")</f>
        <v>#REF!</v>
      </c>
      <c r="EK58" t="e">
        <f>AND(#REF!,"AAAAAGvTjYw=")</f>
        <v>#REF!</v>
      </c>
      <c r="EL58" t="e">
        <f>AND(#REF!,"AAAAAGvTjY0=")</f>
        <v>#REF!</v>
      </c>
      <c r="EM58" t="e">
        <f>AND(#REF!,"AAAAAGvTjY4=")</f>
        <v>#REF!</v>
      </c>
      <c r="EN58" t="e">
        <f>AND(#REF!,"AAAAAGvTjY8=")</f>
        <v>#REF!</v>
      </c>
      <c r="EO58" t="e">
        <f>AND(#REF!,"AAAAAGvTjZA=")</f>
        <v>#REF!</v>
      </c>
      <c r="EP58" t="e">
        <f>AND(#REF!,"AAAAAGvTjZE=")</f>
        <v>#REF!</v>
      </c>
      <c r="EQ58" t="e">
        <f>IF(#REF!,"AAAAAGvTjZI=",0)</f>
        <v>#REF!</v>
      </c>
      <c r="ER58" t="e">
        <f>AND(#REF!,"AAAAAGvTjZM=")</f>
        <v>#REF!</v>
      </c>
      <c r="ES58" t="e">
        <f>AND(#REF!,"AAAAAGvTjZQ=")</f>
        <v>#REF!</v>
      </c>
      <c r="ET58" t="e">
        <f>AND(#REF!,"AAAAAGvTjZU=")</f>
        <v>#REF!</v>
      </c>
      <c r="EU58" t="e">
        <f>AND(#REF!,"AAAAAGvTjZY=")</f>
        <v>#REF!</v>
      </c>
      <c r="EV58" t="e">
        <f>AND(#REF!,"AAAAAGvTjZc=")</f>
        <v>#REF!</v>
      </c>
      <c r="EW58" t="e">
        <f>AND(#REF!,"AAAAAGvTjZg=")</f>
        <v>#REF!</v>
      </c>
      <c r="EX58" t="e">
        <f>AND(#REF!,"AAAAAGvTjZk=")</f>
        <v>#REF!</v>
      </c>
      <c r="EY58" t="e">
        <f>AND(#REF!,"AAAAAGvTjZo=")</f>
        <v>#REF!</v>
      </c>
      <c r="EZ58" t="e">
        <f>AND(#REF!,"AAAAAGvTjZs=")</f>
        <v>#REF!</v>
      </c>
      <c r="FA58" t="e">
        <f>AND(#REF!,"AAAAAGvTjZw=")</f>
        <v>#REF!</v>
      </c>
      <c r="FB58" t="e">
        <f>AND(#REF!,"AAAAAGvTjZ0=")</f>
        <v>#REF!</v>
      </c>
      <c r="FC58" t="e">
        <f>AND(#REF!,"AAAAAGvTjZ4=")</f>
        <v>#REF!</v>
      </c>
      <c r="FD58" t="e">
        <f>AND(#REF!,"AAAAAGvTjZ8=")</f>
        <v>#REF!</v>
      </c>
      <c r="FE58" t="e">
        <f>AND(#REF!,"AAAAAGvTjaA=")</f>
        <v>#REF!</v>
      </c>
      <c r="FF58" t="e">
        <f>AND(#REF!,"AAAAAGvTjaE=")</f>
        <v>#REF!</v>
      </c>
      <c r="FG58" t="e">
        <f>AND(#REF!,"AAAAAGvTjaI=")</f>
        <v>#REF!</v>
      </c>
      <c r="FH58" t="e">
        <f>IF(#REF!,"AAAAAGvTjaM=",0)</f>
        <v>#REF!</v>
      </c>
      <c r="FI58" t="e">
        <f>IF(#REF!,"AAAAAGvTjaQ=",0)</f>
        <v>#REF!</v>
      </c>
      <c r="FJ58" t="e">
        <f>IF(#REF!,"AAAAAGvTjaU=",0)</f>
        <v>#REF!</v>
      </c>
      <c r="FK58" t="e">
        <f>IF(#REF!,"AAAAAGvTjaY=",0)</f>
        <v>#REF!</v>
      </c>
      <c r="FL58" t="e">
        <f>IF(#REF!,"AAAAAGvTjac=",0)</f>
        <v>#REF!</v>
      </c>
      <c r="FM58" t="e">
        <f>IF(#REF!,"AAAAAGvTjag=",0)</f>
        <v>#REF!</v>
      </c>
      <c r="FN58" t="e">
        <f>IF(#REF!,"AAAAAGvTjak=",0)</f>
        <v>#REF!</v>
      </c>
      <c r="FO58" t="e">
        <f>IF(#REF!,"AAAAAGvTjao=",0)</f>
        <v>#REF!</v>
      </c>
      <c r="FP58" t="e">
        <f>IF(#REF!,"AAAAAGvTjas=",0)</f>
        <v>#REF!</v>
      </c>
      <c r="FQ58" t="e">
        <f>IF(#REF!,"AAAAAGvTjaw=",0)</f>
        <v>#REF!</v>
      </c>
      <c r="FR58" t="e">
        <f>IF(#REF!,"AAAAAGvTja0=",0)</f>
        <v>#REF!</v>
      </c>
      <c r="FS58" t="e">
        <f>IF(#REF!,"AAAAAGvTja4=",0)</f>
        <v>#REF!</v>
      </c>
      <c r="FT58" t="e">
        <f>IF(#REF!,"AAAAAGvTja8=",0)</f>
        <v>#REF!</v>
      </c>
      <c r="FU58" t="e">
        <f>IF(#REF!,"AAAAAGvTjbA=",0)</f>
        <v>#REF!</v>
      </c>
      <c r="FV58" t="e">
        <f>IF(#REF!,"AAAAAGvTjbE=",0)</f>
        <v>#REF!</v>
      </c>
      <c r="FW58" t="e">
        <f>IF(#REF!,"AAAAAGvTjbI=",0)</f>
        <v>#REF!</v>
      </c>
      <c r="FX58" t="e">
        <f>IF(#REF!,"AAAAAGvTjbM=",0)</f>
        <v>#REF!</v>
      </c>
      <c r="FY58" t="e">
        <f>AND(#REF!,"AAAAAGvTjbQ=")</f>
        <v>#REF!</v>
      </c>
      <c r="FZ58" t="e">
        <f>AND(#REF!,"AAAAAGvTjbU=")</f>
        <v>#REF!</v>
      </c>
      <c r="GA58" t="e">
        <f>AND(#REF!,"AAAAAGvTjbY=")</f>
        <v>#REF!</v>
      </c>
      <c r="GB58" t="e">
        <f>AND(#REF!,"AAAAAGvTjbc=")</f>
        <v>#REF!</v>
      </c>
      <c r="GC58" t="e">
        <f>AND(#REF!,"AAAAAGvTjbg=")</f>
        <v>#REF!</v>
      </c>
      <c r="GD58" t="e">
        <f>AND(#REF!,"AAAAAGvTjbk=")</f>
        <v>#REF!</v>
      </c>
      <c r="GE58" t="e">
        <f>AND(#REF!,"AAAAAGvTjbo=")</f>
        <v>#REF!</v>
      </c>
      <c r="GF58" t="e">
        <f>AND(#REF!,"AAAAAGvTjbs=")</f>
        <v>#REF!</v>
      </c>
      <c r="GG58" t="e">
        <f>AND(#REF!,"AAAAAGvTjbw=")</f>
        <v>#REF!</v>
      </c>
      <c r="GH58" t="e">
        <f>AND(#REF!,"AAAAAGvTjb0=")</f>
        <v>#REF!</v>
      </c>
      <c r="GI58" t="e">
        <f>AND(#REF!,"AAAAAGvTjb4=")</f>
        <v>#REF!</v>
      </c>
      <c r="GJ58" t="e">
        <f>AND(#REF!,"AAAAAGvTjb8=")</f>
        <v>#REF!</v>
      </c>
      <c r="GK58" t="e">
        <f>AND(#REF!,"AAAAAGvTjcA=")</f>
        <v>#REF!</v>
      </c>
      <c r="GL58" t="e">
        <f>AND(#REF!,"AAAAAGvTjcE=")</f>
        <v>#REF!</v>
      </c>
      <c r="GM58" t="e">
        <f>AND(#REF!,"AAAAAGvTjcI=")</f>
        <v>#REF!</v>
      </c>
      <c r="GN58" t="e">
        <f>AND(#REF!,"AAAAAGvTjcM=")</f>
        <v>#REF!</v>
      </c>
      <c r="GO58" t="e">
        <f>IF(#REF!,"AAAAAGvTjcQ=",0)</f>
        <v>#REF!</v>
      </c>
      <c r="GP58" t="e">
        <f>AND(#REF!,"AAAAAGvTjcU=")</f>
        <v>#REF!</v>
      </c>
      <c r="GQ58" t="e">
        <f>AND(#REF!,"AAAAAGvTjcY=")</f>
        <v>#REF!</v>
      </c>
      <c r="GR58" t="e">
        <f>AND(#REF!,"AAAAAGvTjcc=")</f>
        <v>#REF!</v>
      </c>
      <c r="GS58" t="e">
        <f>AND(#REF!,"AAAAAGvTjcg=")</f>
        <v>#REF!</v>
      </c>
      <c r="GT58" t="e">
        <f>AND(#REF!,"AAAAAGvTjck=")</f>
        <v>#REF!</v>
      </c>
      <c r="GU58" t="e">
        <f>AND(#REF!,"AAAAAGvTjco=")</f>
        <v>#REF!</v>
      </c>
      <c r="GV58" t="e">
        <f>AND(#REF!,"AAAAAGvTjcs=")</f>
        <v>#REF!</v>
      </c>
      <c r="GW58" t="e">
        <f>AND(#REF!,"AAAAAGvTjcw=")</f>
        <v>#REF!</v>
      </c>
      <c r="GX58" t="e">
        <f>AND(#REF!,"AAAAAGvTjc0=")</f>
        <v>#REF!</v>
      </c>
      <c r="GY58" t="e">
        <f>AND(#REF!,"AAAAAGvTjc4=")</f>
        <v>#REF!</v>
      </c>
      <c r="GZ58" t="e">
        <f>AND(#REF!,"AAAAAGvTjc8=")</f>
        <v>#REF!</v>
      </c>
      <c r="HA58" t="e">
        <f>AND(#REF!,"AAAAAGvTjdA=")</f>
        <v>#REF!</v>
      </c>
      <c r="HB58" t="e">
        <f>AND(#REF!,"AAAAAGvTjdE=")</f>
        <v>#REF!</v>
      </c>
      <c r="HC58" t="e">
        <f>AND(#REF!,"AAAAAGvTjdI=")</f>
        <v>#REF!</v>
      </c>
      <c r="HD58" t="e">
        <f>AND(#REF!,"AAAAAGvTjdM=")</f>
        <v>#REF!</v>
      </c>
      <c r="HE58" t="e">
        <f>AND(#REF!,"AAAAAGvTjdQ=")</f>
        <v>#REF!</v>
      </c>
      <c r="HF58" t="e">
        <f>IF(#REF!,"AAAAAGvTjdU=",0)</f>
        <v>#REF!</v>
      </c>
      <c r="HG58" t="e">
        <f>AND(#REF!,"AAAAAGvTjdY=")</f>
        <v>#REF!</v>
      </c>
      <c r="HH58" t="e">
        <f>AND(#REF!,"AAAAAGvTjdc=")</f>
        <v>#REF!</v>
      </c>
      <c r="HI58" t="e">
        <f>AND(#REF!,"AAAAAGvTjdg=")</f>
        <v>#REF!</v>
      </c>
      <c r="HJ58" t="e">
        <f>AND(#REF!,"AAAAAGvTjdk=")</f>
        <v>#REF!</v>
      </c>
      <c r="HK58" t="e">
        <f>AND(#REF!,"AAAAAGvTjdo=")</f>
        <v>#REF!</v>
      </c>
      <c r="HL58" t="e">
        <f>AND(#REF!,"AAAAAGvTjds=")</f>
        <v>#REF!</v>
      </c>
      <c r="HM58" t="e">
        <f>AND(#REF!,"AAAAAGvTjdw=")</f>
        <v>#REF!</v>
      </c>
      <c r="HN58" t="e">
        <f>AND(#REF!,"AAAAAGvTjd0=")</f>
        <v>#REF!</v>
      </c>
      <c r="HO58" t="e">
        <f>AND(#REF!,"AAAAAGvTjd4=")</f>
        <v>#REF!</v>
      </c>
      <c r="HP58" t="e">
        <f>AND(#REF!,"AAAAAGvTjd8=")</f>
        <v>#REF!</v>
      </c>
      <c r="HQ58" t="e">
        <f>AND(#REF!,"AAAAAGvTjeA=")</f>
        <v>#REF!</v>
      </c>
      <c r="HR58" t="e">
        <f>AND(#REF!,"AAAAAGvTjeE=")</f>
        <v>#REF!</v>
      </c>
      <c r="HS58" t="e">
        <f>AND(#REF!,"AAAAAGvTjeI=")</f>
        <v>#REF!</v>
      </c>
      <c r="HT58" t="e">
        <f>AND(#REF!,"AAAAAGvTjeM=")</f>
        <v>#REF!</v>
      </c>
      <c r="HU58" t="e">
        <f>AND(#REF!,"AAAAAGvTjeQ=")</f>
        <v>#REF!</v>
      </c>
      <c r="HV58" t="e">
        <f>AND(#REF!,"AAAAAGvTjeU=")</f>
        <v>#REF!</v>
      </c>
      <c r="HW58" t="e">
        <f>IF(#REF!,"AAAAAGvTjeY=",0)</f>
        <v>#REF!</v>
      </c>
      <c r="HX58" t="e">
        <f>AND(#REF!,"AAAAAGvTjec=")</f>
        <v>#REF!</v>
      </c>
      <c r="HY58" t="e">
        <f>AND(#REF!,"AAAAAGvTjeg=")</f>
        <v>#REF!</v>
      </c>
      <c r="HZ58" t="e">
        <f>AND(#REF!,"AAAAAGvTjek=")</f>
        <v>#REF!</v>
      </c>
      <c r="IA58" t="e">
        <f>AND(#REF!,"AAAAAGvTjeo=")</f>
        <v>#REF!</v>
      </c>
      <c r="IB58" t="e">
        <f>AND(#REF!,"AAAAAGvTjes=")</f>
        <v>#REF!</v>
      </c>
      <c r="IC58" t="e">
        <f>AND(#REF!,"AAAAAGvTjew=")</f>
        <v>#REF!</v>
      </c>
      <c r="ID58" t="e">
        <f>AND(#REF!,"AAAAAGvTje0=")</f>
        <v>#REF!</v>
      </c>
      <c r="IE58" t="e">
        <f>AND(#REF!,"AAAAAGvTje4=")</f>
        <v>#REF!</v>
      </c>
      <c r="IF58" t="e">
        <f>AND(#REF!,"AAAAAGvTje8=")</f>
        <v>#REF!</v>
      </c>
      <c r="IG58" t="e">
        <f>AND(#REF!,"AAAAAGvTjfA=")</f>
        <v>#REF!</v>
      </c>
      <c r="IH58" t="e">
        <f>AND(#REF!,"AAAAAGvTjfE=")</f>
        <v>#REF!</v>
      </c>
      <c r="II58" t="e">
        <f>AND(#REF!,"AAAAAGvTjfI=")</f>
        <v>#REF!</v>
      </c>
      <c r="IJ58" t="e">
        <f>AND(#REF!,"AAAAAGvTjfM=")</f>
        <v>#REF!</v>
      </c>
      <c r="IK58" t="e">
        <f>AND(#REF!,"AAAAAGvTjfQ=")</f>
        <v>#REF!</v>
      </c>
      <c r="IL58" t="e">
        <f>AND(#REF!,"AAAAAGvTjfU=")</f>
        <v>#REF!</v>
      </c>
      <c r="IM58" t="e">
        <f>AND(#REF!,"AAAAAGvTjfY=")</f>
        <v>#REF!</v>
      </c>
      <c r="IN58" t="e">
        <f>IF(#REF!,"AAAAAGvTjfc=",0)</f>
        <v>#REF!</v>
      </c>
      <c r="IO58" t="e">
        <f>AND(#REF!,"AAAAAGvTjfg=")</f>
        <v>#REF!</v>
      </c>
      <c r="IP58" t="e">
        <f>AND(#REF!,"AAAAAGvTjfk=")</f>
        <v>#REF!</v>
      </c>
      <c r="IQ58" t="e">
        <f>AND(#REF!,"AAAAAGvTjfo=")</f>
        <v>#REF!</v>
      </c>
      <c r="IR58" t="e">
        <f>AND(#REF!,"AAAAAGvTjfs=")</f>
        <v>#REF!</v>
      </c>
      <c r="IS58" t="e">
        <f>AND(#REF!,"AAAAAGvTjfw=")</f>
        <v>#REF!</v>
      </c>
      <c r="IT58" t="e">
        <f>AND(#REF!,"AAAAAGvTjf0=")</f>
        <v>#REF!</v>
      </c>
      <c r="IU58" t="e">
        <f>AND(#REF!,"AAAAAGvTjf4=")</f>
        <v>#REF!</v>
      </c>
      <c r="IV58" t="e">
        <f>AND(#REF!,"AAAAAGvTjf8=")</f>
        <v>#REF!</v>
      </c>
    </row>
    <row r="59" spans="1:256" x14ac:dyDescent="0.25">
      <c r="A59" t="e">
        <f>AND(#REF!,"AAAAAHj/7wA=")</f>
        <v>#REF!</v>
      </c>
      <c r="B59" t="e">
        <f>AND(#REF!,"AAAAAHj/7wE=")</f>
        <v>#REF!</v>
      </c>
      <c r="C59" t="e">
        <f>AND(#REF!,"AAAAAHj/7wI=")</f>
        <v>#REF!</v>
      </c>
      <c r="D59" t="e">
        <f>AND(#REF!,"AAAAAHj/7wM=")</f>
        <v>#REF!</v>
      </c>
      <c r="E59" t="e">
        <f>AND(#REF!,"AAAAAHj/7wQ=")</f>
        <v>#REF!</v>
      </c>
      <c r="F59" t="e">
        <f>AND(#REF!,"AAAAAHj/7wU=")</f>
        <v>#REF!</v>
      </c>
      <c r="G59" t="e">
        <f>AND(#REF!,"AAAAAHj/7wY=")</f>
        <v>#REF!</v>
      </c>
      <c r="H59" t="e">
        <f>AND(#REF!,"AAAAAHj/7wc=")</f>
        <v>#REF!</v>
      </c>
      <c r="I59" t="e">
        <f>IF(#REF!,"AAAAAHj/7wg=",0)</f>
        <v>#REF!</v>
      </c>
      <c r="J59" t="e">
        <f>AND(#REF!,"AAAAAHj/7wk=")</f>
        <v>#REF!</v>
      </c>
      <c r="K59" t="e">
        <f>AND(#REF!,"AAAAAHj/7wo=")</f>
        <v>#REF!</v>
      </c>
      <c r="L59" t="e">
        <f>AND(#REF!,"AAAAAHj/7ws=")</f>
        <v>#REF!</v>
      </c>
      <c r="M59" t="e">
        <f>AND(#REF!,"AAAAAHj/7ww=")</f>
        <v>#REF!</v>
      </c>
      <c r="N59" t="e">
        <f>AND(#REF!,"AAAAAHj/7w0=")</f>
        <v>#REF!</v>
      </c>
      <c r="O59" t="e">
        <f>AND(#REF!,"AAAAAHj/7w4=")</f>
        <v>#REF!</v>
      </c>
      <c r="P59" t="e">
        <f>AND(#REF!,"AAAAAHj/7w8=")</f>
        <v>#REF!</v>
      </c>
      <c r="Q59" t="e">
        <f>AND(#REF!,"AAAAAHj/7xA=")</f>
        <v>#REF!</v>
      </c>
      <c r="R59" t="e">
        <f>AND(#REF!,"AAAAAHj/7xE=")</f>
        <v>#REF!</v>
      </c>
      <c r="S59" t="e">
        <f>AND(#REF!,"AAAAAHj/7xI=")</f>
        <v>#REF!</v>
      </c>
      <c r="T59" t="e">
        <f>AND(#REF!,"AAAAAHj/7xM=")</f>
        <v>#REF!</v>
      </c>
      <c r="U59" t="e">
        <f>AND(#REF!,"AAAAAHj/7xQ=")</f>
        <v>#REF!</v>
      </c>
      <c r="V59" t="e">
        <f>AND(#REF!,"AAAAAHj/7xU=")</f>
        <v>#REF!</v>
      </c>
      <c r="W59" t="e">
        <f>AND(#REF!,"AAAAAHj/7xY=")</f>
        <v>#REF!</v>
      </c>
      <c r="X59" t="e">
        <f>AND(#REF!,"AAAAAHj/7xc=")</f>
        <v>#REF!</v>
      </c>
      <c r="Y59" t="e">
        <f>AND(#REF!,"AAAAAHj/7xg=")</f>
        <v>#REF!</v>
      </c>
      <c r="Z59" t="e">
        <f>IF(#REF!,"AAAAAHj/7xk=",0)</f>
        <v>#REF!</v>
      </c>
      <c r="AA59" t="e">
        <f>AND(#REF!,"AAAAAHj/7xo=")</f>
        <v>#REF!</v>
      </c>
      <c r="AB59" t="e">
        <f>AND(#REF!,"AAAAAHj/7xs=")</f>
        <v>#REF!</v>
      </c>
      <c r="AC59" t="e">
        <f>AND(#REF!,"AAAAAHj/7xw=")</f>
        <v>#REF!</v>
      </c>
      <c r="AD59" t="e">
        <f>AND(#REF!,"AAAAAHj/7x0=")</f>
        <v>#REF!</v>
      </c>
      <c r="AE59" t="e">
        <f>AND(#REF!,"AAAAAHj/7x4=")</f>
        <v>#REF!</v>
      </c>
      <c r="AF59" t="e">
        <f>AND(#REF!,"AAAAAHj/7x8=")</f>
        <v>#REF!</v>
      </c>
      <c r="AG59" t="e">
        <f>AND(#REF!,"AAAAAHj/7yA=")</f>
        <v>#REF!</v>
      </c>
      <c r="AH59" t="e">
        <f>AND(#REF!,"AAAAAHj/7yE=")</f>
        <v>#REF!</v>
      </c>
      <c r="AI59" t="e">
        <f>AND(#REF!,"AAAAAHj/7yI=")</f>
        <v>#REF!</v>
      </c>
      <c r="AJ59" t="e">
        <f>AND(#REF!,"AAAAAHj/7yM=")</f>
        <v>#REF!</v>
      </c>
      <c r="AK59" t="e">
        <f>AND(#REF!,"AAAAAHj/7yQ=")</f>
        <v>#REF!</v>
      </c>
      <c r="AL59" t="e">
        <f>AND(#REF!,"AAAAAHj/7yU=")</f>
        <v>#REF!</v>
      </c>
      <c r="AM59" t="e">
        <f>AND(#REF!,"AAAAAHj/7yY=")</f>
        <v>#REF!</v>
      </c>
      <c r="AN59" t="e">
        <f>AND(#REF!,"AAAAAHj/7yc=")</f>
        <v>#REF!</v>
      </c>
      <c r="AO59" t="e">
        <f>AND(#REF!,"AAAAAHj/7yg=")</f>
        <v>#REF!</v>
      </c>
      <c r="AP59" t="e">
        <f>AND(#REF!,"AAAAAHj/7yk=")</f>
        <v>#REF!</v>
      </c>
      <c r="AQ59" t="e">
        <f>IF(#REF!,"AAAAAHj/7yo=",0)</f>
        <v>#REF!</v>
      </c>
      <c r="AR59" t="e">
        <f>AND(#REF!,"AAAAAHj/7ys=")</f>
        <v>#REF!</v>
      </c>
      <c r="AS59" t="e">
        <f>AND(#REF!,"AAAAAHj/7yw=")</f>
        <v>#REF!</v>
      </c>
      <c r="AT59" t="e">
        <f>AND(#REF!,"AAAAAHj/7y0=")</f>
        <v>#REF!</v>
      </c>
      <c r="AU59" t="e">
        <f>AND(#REF!,"AAAAAHj/7y4=")</f>
        <v>#REF!</v>
      </c>
      <c r="AV59" t="e">
        <f>AND(#REF!,"AAAAAHj/7y8=")</f>
        <v>#REF!</v>
      </c>
      <c r="AW59" t="e">
        <f>AND(#REF!,"AAAAAHj/7zA=")</f>
        <v>#REF!</v>
      </c>
      <c r="AX59" t="e">
        <f>AND(#REF!,"AAAAAHj/7zE=")</f>
        <v>#REF!</v>
      </c>
      <c r="AY59" t="e">
        <f>AND(#REF!,"AAAAAHj/7zI=")</f>
        <v>#REF!</v>
      </c>
      <c r="AZ59" t="e">
        <f>AND(#REF!,"AAAAAHj/7zM=")</f>
        <v>#REF!</v>
      </c>
      <c r="BA59" t="e">
        <f>AND(#REF!,"AAAAAHj/7zQ=")</f>
        <v>#REF!</v>
      </c>
      <c r="BB59" t="e">
        <f>AND(#REF!,"AAAAAHj/7zU=")</f>
        <v>#REF!</v>
      </c>
      <c r="BC59" t="e">
        <f>AND(#REF!,"AAAAAHj/7zY=")</f>
        <v>#REF!</v>
      </c>
      <c r="BD59" t="e">
        <f>AND(#REF!,"AAAAAHj/7zc=")</f>
        <v>#REF!</v>
      </c>
      <c r="BE59" t="e">
        <f>AND(#REF!,"AAAAAHj/7zg=")</f>
        <v>#REF!</v>
      </c>
      <c r="BF59" t="e">
        <f>AND(#REF!,"AAAAAHj/7zk=")</f>
        <v>#REF!</v>
      </c>
      <c r="BG59" t="e">
        <f>AND(#REF!,"AAAAAHj/7zo=")</f>
        <v>#REF!</v>
      </c>
      <c r="BH59" t="e">
        <f>IF(#REF!,"AAAAAHj/7zs=",0)</f>
        <v>#REF!</v>
      </c>
      <c r="BI59" t="e">
        <f>AND(#REF!,"AAAAAHj/7zw=")</f>
        <v>#REF!</v>
      </c>
      <c r="BJ59" t="e">
        <f>AND(#REF!,"AAAAAHj/7z0=")</f>
        <v>#REF!</v>
      </c>
      <c r="BK59" t="e">
        <f>AND(#REF!,"AAAAAHj/7z4=")</f>
        <v>#REF!</v>
      </c>
      <c r="BL59" t="e">
        <f>AND(#REF!,"AAAAAHj/7z8=")</f>
        <v>#REF!</v>
      </c>
      <c r="BM59" t="e">
        <f>AND(#REF!,"AAAAAHj/70A=")</f>
        <v>#REF!</v>
      </c>
      <c r="BN59" t="e">
        <f>AND(#REF!,"AAAAAHj/70E=")</f>
        <v>#REF!</v>
      </c>
      <c r="BO59" t="e">
        <f>AND(#REF!,"AAAAAHj/70I=")</f>
        <v>#REF!</v>
      </c>
      <c r="BP59" t="e">
        <f>AND(#REF!,"AAAAAHj/70M=")</f>
        <v>#REF!</v>
      </c>
      <c r="BQ59" t="e">
        <f>AND(#REF!,"AAAAAHj/70Q=")</f>
        <v>#REF!</v>
      </c>
      <c r="BR59" t="e">
        <f>AND(#REF!,"AAAAAHj/70U=")</f>
        <v>#REF!</v>
      </c>
      <c r="BS59" t="e">
        <f>AND(#REF!,"AAAAAHj/70Y=")</f>
        <v>#REF!</v>
      </c>
      <c r="BT59" t="e">
        <f>AND(#REF!,"AAAAAHj/70c=")</f>
        <v>#REF!</v>
      </c>
      <c r="BU59" t="e">
        <f>AND(#REF!,"AAAAAHj/70g=")</f>
        <v>#REF!</v>
      </c>
      <c r="BV59" t="e">
        <f>AND(#REF!,"AAAAAHj/70k=")</f>
        <v>#REF!</v>
      </c>
      <c r="BW59" t="e">
        <f>AND(#REF!,"AAAAAHj/70o=")</f>
        <v>#REF!</v>
      </c>
      <c r="BX59" t="e">
        <f>AND(#REF!,"AAAAAHj/70s=")</f>
        <v>#REF!</v>
      </c>
      <c r="BY59" t="e">
        <f>IF(#REF!,"AAAAAHj/70w=",0)</f>
        <v>#REF!</v>
      </c>
      <c r="BZ59" t="e">
        <f>AND(#REF!,"AAAAAHj/700=")</f>
        <v>#REF!</v>
      </c>
      <c r="CA59" t="e">
        <f>AND(#REF!,"AAAAAHj/704=")</f>
        <v>#REF!</v>
      </c>
      <c r="CB59" t="e">
        <f>AND(#REF!,"AAAAAHj/708=")</f>
        <v>#REF!</v>
      </c>
      <c r="CC59" t="e">
        <f>AND(#REF!,"AAAAAHj/71A=")</f>
        <v>#REF!</v>
      </c>
      <c r="CD59" t="e">
        <f>AND(#REF!,"AAAAAHj/71E=")</f>
        <v>#REF!</v>
      </c>
      <c r="CE59" t="e">
        <f>AND(#REF!,"AAAAAHj/71I=")</f>
        <v>#REF!</v>
      </c>
      <c r="CF59" t="e">
        <f>AND(#REF!,"AAAAAHj/71M=")</f>
        <v>#REF!</v>
      </c>
      <c r="CG59" t="e">
        <f>AND(#REF!,"AAAAAHj/71Q=")</f>
        <v>#REF!</v>
      </c>
      <c r="CH59" t="e">
        <f>AND(#REF!,"AAAAAHj/71U=")</f>
        <v>#REF!</v>
      </c>
      <c r="CI59" t="e">
        <f>AND(#REF!,"AAAAAHj/71Y=")</f>
        <v>#REF!</v>
      </c>
      <c r="CJ59" t="e">
        <f>AND(#REF!,"AAAAAHj/71c=")</f>
        <v>#REF!</v>
      </c>
      <c r="CK59" t="e">
        <f>AND(#REF!,"AAAAAHj/71g=")</f>
        <v>#REF!</v>
      </c>
      <c r="CL59" t="e">
        <f>AND(#REF!,"AAAAAHj/71k=")</f>
        <v>#REF!</v>
      </c>
      <c r="CM59" t="e">
        <f>AND(#REF!,"AAAAAHj/71o=")</f>
        <v>#REF!</v>
      </c>
      <c r="CN59" t="e">
        <f>AND(#REF!,"AAAAAHj/71s=")</f>
        <v>#REF!</v>
      </c>
      <c r="CO59" t="e">
        <f>AND(#REF!,"AAAAAHj/71w=")</f>
        <v>#REF!</v>
      </c>
      <c r="CP59" t="e">
        <f>IF(#REF!,"AAAAAHj/710=",0)</f>
        <v>#REF!</v>
      </c>
      <c r="CQ59" t="e">
        <f>AND(#REF!,"AAAAAHj/714=")</f>
        <v>#REF!</v>
      </c>
      <c r="CR59" t="e">
        <f>AND(#REF!,"AAAAAHj/718=")</f>
        <v>#REF!</v>
      </c>
      <c r="CS59" t="e">
        <f>AND(#REF!,"AAAAAHj/72A=")</f>
        <v>#REF!</v>
      </c>
      <c r="CT59" t="e">
        <f>AND(#REF!,"AAAAAHj/72E=")</f>
        <v>#REF!</v>
      </c>
      <c r="CU59" t="e">
        <f>AND(#REF!,"AAAAAHj/72I=")</f>
        <v>#REF!</v>
      </c>
      <c r="CV59" t="e">
        <f>AND(#REF!,"AAAAAHj/72M=")</f>
        <v>#REF!</v>
      </c>
      <c r="CW59" t="e">
        <f>AND(#REF!,"AAAAAHj/72Q=")</f>
        <v>#REF!</v>
      </c>
      <c r="CX59" t="e">
        <f>AND(#REF!,"AAAAAHj/72U=")</f>
        <v>#REF!</v>
      </c>
      <c r="CY59" t="e">
        <f>AND(#REF!,"AAAAAHj/72Y=")</f>
        <v>#REF!</v>
      </c>
      <c r="CZ59" t="e">
        <f>AND(#REF!,"AAAAAHj/72c=")</f>
        <v>#REF!</v>
      </c>
      <c r="DA59" t="e">
        <f>AND(#REF!,"AAAAAHj/72g=")</f>
        <v>#REF!</v>
      </c>
      <c r="DB59" t="e">
        <f>AND(#REF!,"AAAAAHj/72k=")</f>
        <v>#REF!</v>
      </c>
      <c r="DC59" t="e">
        <f>AND(#REF!,"AAAAAHj/72o=")</f>
        <v>#REF!</v>
      </c>
      <c r="DD59" t="e">
        <f>AND(#REF!,"AAAAAHj/72s=")</f>
        <v>#REF!</v>
      </c>
      <c r="DE59" t="e">
        <f>AND(#REF!,"AAAAAHj/72w=")</f>
        <v>#REF!</v>
      </c>
      <c r="DF59" t="e">
        <f>AND(#REF!,"AAAAAHj/720=")</f>
        <v>#REF!</v>
      </c>
      <c r="DG59" t="e">
        <f>IF(#REF!,"AAAAAHj/724=",0)</f>
        <v>#REF!</v>
      </c>
      <c r="DH59" t="e">
        <f>AND(#REF!,"AAAAAHj/728=")</f>
        <v>#REF!</v>
      </c>
      <c r="DI59" t="e">
        <f>AND(#REF!,"AAAAAHj/73A=")</f>
        <v>#REF!</v>
      </c>
      <c r="DJ59" t="e">
        <f>AND(#REF!,"AAAAAHj/73E=")</f>
        <v>#REF!</v>
      </c>
      <c r="DK59" t="e">
        <f>AND(#REF!,"AAAAAHj/73I=")</f>
        <v>#REF!</v>
      </c>
      <c r="DL59" t="e">
        <f>AND(#REF!,"AAAAAHj/73M=")</f>
        <v>#REF!</v>
      </c>
      <c r="DM59" t="e">
        <f>AND(#REF!,"AAAAAHj/73Q=")</f>
        <v>#REF!</v>
      </c>
      <c r="DN59" t="e">
        <f>AND(#REF!,"AAAAAHj/73U=")</f>
        <v>#REF!</v>
      </c>
      <c r="DO59" t="e">
        <f>AND(#REF!,"AAAAAHj/73Y=")</f>
        <v>#REF!</v>
      </c>
      <c r="DP59" t="e">
        <f>AND(#REF!,"AAAAAHj/73c=")</f>
        <v>#REF!</v>
      </c>
      <c r="DQ59" t="e">
        <f>AND(#REF!,"AAAAAHj/73g=")</f>
        <v>#REF!</v>
      </c>
      <c r="DR59" t="e">
        <f>AND(#REF!,"AAAAAHj/73k=")</f>
        <v>#REF!</v>
      </c>
      <c r="DS59" t="e">
        <f>AND(#REF!,"AAAAAHj/73o=")</f>
        <v>#REF!</v>
      </c>
      <c r="DT59" t="e">
        <f>AND(#REF!,"AAAAAHj/73s=")</f>
        <v>#REF!</v>
      </c>
      <c r="DU59" t="e">
        <f>AND(#REF!,"AAAAAHj/73w=")</f>
        <v>#REF!</v>
      </c>
      <c r="DV59" t="e">
        <f>AND(#REF!,"AAAAAHj/730=")</f>
        <v>#REF!</v>
      </c>
      <c r="DW59" t="e">
        <f>AND(#REF!,"AAAAAHj/734=")</f>
        <v>#REF!</v>
      </c>
      <c r="DX59" t="e">
        <f>IF(#REF!,"AAAAAHj/738=",0)</f>
        <v>#REF!</v>
      </c>
      <c r="DY59" t="e">
        <f>AND(#REF!,"AAAAAHj/74A=")</f>
        <v>#REF!</v>
      </c>
      <c r="DZ59" t="e">
        <f>AND(#REF!,"AAAAAHj/74E=")</f>
        <v>#REF!</v>
      </c>
      <c r="EA59" t="e">
        <f>AND(#REF!,"AAAAAHj/74I=")</f>
        <v>#REF!</v>
      </c>
      <c r="EB59" t="e">
        <f>AND(#REF!,"AAAAAHj/74M=")</f>
        <v>#REF!</v>
      </c>
      <c r="EC59" t="e">
        <f>AND(#REF!,"AAAAAHj/74Q=")</f>
        <v>#REF!</v>
      </c>
      <c r="ED59" t="e">
        <f>AND(#REF!,"AAAAAHj/74U=")</f>
        <v>#REF!</v>
      </c>
      <c r="EE59" t="e">
        <f>AND(#REF!,"AAAAAHj/74Y=")</f>
        <v>#REF!</v>
      </c>
      <c r="EF59" t="e">
        <f>AND(#REF!,"AAAAAHj/74c=")</f>
        <v>#REF!</v>
      </c>
      <c r="EG59" t="e">
        <f>AND(#REF!,"AAAAAHj/74g=")</f>
        <v>#REF!</v>
      </c>
      <c r="EH59" t="e">
        <f>AND(#REF!,"AAAAAHj/74k=")</f>
        <v>#REF!</v>
      </c>
      <c r="EI59" t="e">
        <f>AND(#REF!,"AAAAAHj/74o=")</f>
        <v>#REF!</v>
      </c>
      <c r="EJ59" t="e">
        <f>AND(#REF!,"AAAAAHj/74s=")</f>
        <v>#REF!</v>
      </c>
      <c r="EK59" t="e">
        <f>AND(#REF!,"AAAAAHj/74w=")</f>
        <v>#REF!</v>
      </c>
      <c r="EL59" t="e">
        <f>AND(#REF!,"AAAAAHj/740=")</f>
        <v>#REF!</v>
      </c>
      <c r="EM59" t="e">
        <f>AND(#REF!,"AAAAAHj/744=")</f>
        <v>#REF!</v>
      </c>
      <c r="EN59" t="e">
        <f>AND(#REF!,"AAAAAHj/748=")</f>
        <v>#REF!</v>
      </c>
      <c r="EO59" t="e">
        <f>IF(#REF!,"AAAAAHj/75A=",0)</f>
        <v>#REF!</v>
      </c>
      <c r="EP59" t="e">
        <f>AND(#REF!,"AAAAAHj/75E=")</f>
        <v>#REF!</v>
      </c>
      <c r="EQ59" t="e">
        <f>AND(#REF!,"AAAAAHj/75I=")</f>
        <v>#REF!</v>
      </c>
      <c r="ER59" t="e">
        <f>AND(#REF!,"AAAAAHj/75M=")</f>
        <v>#REF!</v>
      </c>
      <c r="ES59" t="e">
        <f>AND(#REF!,"AAAAAHj/75Q=")</f>
        <v>#REF!</v>
      </c>
      <c r="ET59" t="e">
        <f>AND(#REF!,"AAAAAHj/75U=")</f>
        <v>#REF!</v>
      </c>
      <c r="EU59" t="e">
        <f>AND(#REF!,"AAAAAHj/75Y=")</f>
        <v>#REF!</v>
      </c>
      <c r="EV59" t="e">
        <f>AND(#REF!,"AAAAAHj/75c=")</f>
        <v>#REF!</v>
      </c>
      <c r="EW59" t="e">
        <f>AND(#REF!,"AAAAAHj/75g=")</f>
        <v>#REF!</v>
      </c>
      <c r="EX59" t="e">
        <f>AND(#REF!,"AAAAAHj/75k=")</f>
        <v>#REF!</v>
      </c>
      <c r="EY59" t="e">
        <f>AND(#REF!,"AAAAAHj/75o=")</f>
        <v>#REF!</v>
      </c>
      <c r="EZ59" t="e">
        <f>AND(#REF!,"AAAAAHj/75s=")</f>
        <v>#REF!</v>
      </c>
      <c r="FA59" t="e">
        <f>AND(#REF!,"AAAAAHj/75w=")</f>
        <v>#REF!</v>
      </c>
      <c r="FB59" t="e">
        <f>AND(#REF!,"AAAAAHj/750=")</f>
        <v>#REF!</v>
      </c>
      <c r="FC59" t="e">
        <f>AND(#REF!,"AAAAAHj/754=")</f>
        <v>#REF!</v>
      </c>
      <c r="FD59" t="e">
        <f>AND(#REF!,"AAAAAHj/758=")</f>
        <v>#REF!</v>
      </c>
      <c r="FE59" t="e">
        <f>AND(#REF!,"AAAAAHj/76A=")</f>
        <v>#REF!</v>
      </c>
      <c r="FF59" t="e">
        <f>IF(#REF!,"AAAAAHj/76E=",0)</f>
        <v>#REF!</v>
      </c>
      <c r="FG59" t="e">
        <f>AND(#REF!,"AAAAAHj/76I=")</f>
        <v>#REF!</v>
      </c>
      <c r="FH59" t="e">
        <f>AND(#REF!,"AAAAAHj/76M=")</f>
        <v>#REF!</v>
      </c>
      <c r="FI59" t="e">
        <f>AND(#REF!,"AAAAAHj/76Q=")</f>
        <v>#REF!</v>
      </c>
      <c r="FJ59" t="e">
        <f>AND(#REF!,"AAAAAHj/76U=")</f>
        <v>#REF!</v>
      </c>
      <c r="FK59" t="e">
        <f>AND(#REF!,"AAAAAHj/76Y=")</f>
        <v>#REF!</v>
      </c>
      <c r="FL59" t="e">
        <f>AND(#REF!,"AAAAAHj/76c=")</f>
        <v>#REF!</v>
      </c>
      <c r="FM59" t="e">
        <f>AND(#REF!,"AAAAAHj/76g=")</f>
        <v>#REF!</v>
      </c>
      <c r="FN59" t="e">
        <f>AND(#REF!,"AAAAAHj/76k=")</f>
        <v>#REF!</v>
      </c>
      <c r="FO59" t="e">
        <f>AND(#REF!,"AAAAAHj/76o=")</f>
        <v>#REF!</v>
      </c>
      <c r="FP59" t="e">
        <f>AND(#REF!,"AAAAAHj/76s=")</f>
        <v>#REF!</v>
      </c>
      <c r="FQ59" t="e">
        <f>AND(#REF!,"AAAAAHj/76w=")</f>
        <v>#REF!</v>
      </c>
      <c r="FR59" t="e">
        <f>AND(#REF!,"AAAAAHj/760=")</f>
        <v>#REF!</v>
      </c>
      <c r="FS59" t="e">
        <f>AND(#REF!,"AAAAAHj/764=")</f>
        <v>#REF!</v>
      </c>
      <c r="FT59" t="e">
        <f>AND(#REF!,"AAAAAHj/768=")</f>
        <v>#REF!</v>
      </c>
      <c r="FU59" t="e">
        <f>AND(#REF!,"AAAAAHj/77A=")</f>
        <v>#REF!</v>
      </c>
      <c r="FV59" t="e">
        <f>AND(#REF!,"AAAAAHj/77E=")</f>
        <v>#REF!</v>
      </c>
      <c r="FW59" t="e">
        <f>IF(#REF!,"AAAAAHj/77I=",0)</f>
        <v>#REF!</v>
      </c>
      <c r="FX59" t="e">
        <f>AND(#REF!,"AAAAAHj/77M=")</f>
        <v>#REF!</v>
      </c>
      <c r="FY59" t="e">
        <f>AND(#REF!,"AAAAAHj/77Q=")</f>
        <v>#REF!</v>
      </c>
      <c r="FZ59" t="e">
        <f>AND(#REF!,"AAAAAHj/77U=")</f>
        <v>#REF!</v>
      </c>
      <c r="GA59" t="e">
        <f>AND(#REF!,"AAAAAHj/77Y=")</f>
        <v>#REF!</v>
      </c>
      <c r="GB59" t="e">
        <f>AND(#REF!,"AAAAAHj/77c=")</f>
        <v>#REF!</v>
      </c>
      <c r="GC59" t="e">
        <f>AND(#REF!,"AAAAAHj/77g=")</f>
        <v>#REF!</v>
      </c>
      <c r="GD59" t="e">
        <f>AND(#REF!,"AAAAAHj/77k=")</f>
        <v>#REF!</v>
      </c>
      <c r="GE59" t="e">
        <f>AND(#REF!,"AAAAAHj/77o=")</f>
        <v>#REF!</v>
      </c>
      <c r="GF59" t="e">
        <f>AND(#REF!,"AAAAAHj/77s=")</f>
        <v>#REF!</v>
      </c>
      <c r="GG59" t="e">
        <f>AND(#REF!,"AAAAAHj/77w=")</f>
        <v>#REF!</v>
      </c>
      <c r="GH59" t="e">
        <f>AND(#REF!,"AAAAAHj/770=")</f>
        <v>#REF!</v>
      </c>
      <c r="GI59" t="e">
        <f>AND(#REF!,"AAAAAHj/774=")</f>
        <v>#REF!</v>
      </c>
      <c r="GJ59" t="e">
        <f>AND(#REF!,"AAAAAHj/778=")</f>
        <v>#REF!</v>
      </c>
      <c r="GK59" t="e">
        <f>AND(#REF!,"AAAAAHj/78A=")</f>
        <v>#REF!</v>
      </c>
      <c r="GL59" t="e">
        <f>AND(#REF!,"AAAAAHj/78E=")</f>
        <v>#REF!</v>
      </c>
      <c r="GM59" t="e">
        <f>AND(#REF!,"AAAAAHj/78I=")</f>
        <v>#REF!</v>
      </c>
      <c r="GN59" t="e">
        <f>IF(#REF!,"AAAAAHj/78M=",0)</f>
        <v>#REF!</v>
      </c>
      <c r="GO59" t="e">
        <f>AND(#REF!,"AAAAAHj/78Q=")</f>
        <v>#REF!</v>
      </c>
      <c r="GP59" t="e">
        <f>AND(#REF!,"AAAAAHj/78U=")</f>
        <v>#REF!</v>
      </c>
      <c r="GQ59" t="e">
        <f>AND(#REF!,"AAAAAHj/78Y=")</f>
        <v>#REF!</v>
      </c>
      <c r="GR59" t="e">
        <f>AND(#REF!,"AAAAAHj/78c=")</f>
        <v>#REF!</v>
      </c>
      <c r="GS59" t="e">
        <f>AND(#REF!,"AAAAAHj/78g=")</f>
        <v>#REF!</v>
      </c>
      <c r="GT59" t="e">
        <f>AND(#REF!,"AAAAAHj/78k=")</f>
        <v>#REF!</v>
      </c>
      <c r="GU59" t="e">
        <f>AND(#REF!,"AAAAAHj/78o=")</f>
        <v>#REF!</v>
      </c>
      <c r="GV59" t="e">
        <f>AND(#REF!,"AAAAAHj/78s=")</f>
        <v>#REF!</v>
      </c>
      <c r="GW59" t="e">
        <f>AND(#REF!,"AAAAAHj/78w=")</f>
        <v>#REF!</v>
      </c>
      <c r="GX59" t="e">
        <f>AND(#REF!,"AAAAAHj/780=")</f>
        <v>#REF!</v>
      </c>
      <c r="GY59" t="e">
        <f>AND(#REF!,"AAAAAHj/784=")</f>
        <v>#REF!</v>
      </c>
      <c r="GZ59" t="e">
        <f>AND(#REF!,"AAAAAHj/788=")</f>
        <v>#REF!</v>
      </c>
      <c r="HA59" t="e">
        <f>AND(#REF!,"AAAAAHj/79A=")</f>
        <v>#REF!</v>
      </c>
      <c r="HB59" t="e">
        <f>AND(#REF!,"AAAAAHj/79E=")</f>
        <v>#REF!</v>
      </c>
      <c r="HC59" t="e">
        <f>AND(#REF!,"AAAAAHj/79I=")</f>
        <v>#REF!</v>
      </c>
      <c r="HD59" t="e">
        <f>AND(#REF!,"AAAAAHj/79M=")</f>
        <v>#REF!</v>
      </c>
      <c r="HE59" t="e">
        <f>IF(#REF!,"AAAAAHj/79Q=",0)</f>
        <v>#REF!</v>
      </c>
      <c r="HF59" t="e">
        <f>AND(#REF!,"AAAAAHj/79U=")</f>
        <v>#REF!</v>
      </c>
      <c r="HG59" t="e">
        <f>AND(#REF!,"AAAAAHj/79Y=")</f>
        <v>#REF!</v>
      </c>
      <c r="HH59" t="e">
        <f>AND(#REF!,"AAAAAHj/79c=")</f>
        <v>#REF!</v>
      </c>
      <c r="HI59" t="e">
        <f>AND(#REF!,"AAAAAHj/79g=")</f>
        <v>#REF!</v>
      </c>
      <c r="HJ59" t="e">
        <f>AND(#REF!,"AAAAAHj/79k=")</f>
        <v>#REF!</v>
      </c>
      <c r="HK59" t="e">
        <f>AND(#REF!,"AAAAAHj/79o=")</f>
        <v>#REF!</v>
      </c>
      <c r="HL59" t="e">
        <f>AND(#REF!,"AAAAAHj/79s=")</f>
        <v>#REF!</v>
      </c>
      <c r="HM59" t="e">
        <f>AND(#REF!,"AAAAAHj/79w=")</f>
        <v>#REF!</v>
      </c>
      <c r="HN59" t="e">
        <f>AND(#REF!,"AAAAAHj/790=")</f>
        <v>#REF!</v>
      </c>
      <c r="HO59" t="e">
        <f>AND(#REF!,"AAAAAHj/794=")</f>
        <v>#REF!</v>
      </c>
      <c r="HP59" t="e">
        <f>AND(#REF!,"AAAAAHj/798=")</f>
        <v>#REF!</v>
      </c>
      <c r="HQ59" t="e">
        <f>AND(#REF!,"AAAAAHj/7+A=")</f>
        <v>#REF!</v>
      </c>
      <c r="HR59" t="e">
        <f>AND(#REF!,"AAAAAHj/7+E=")</f>
        <v>#REF!</v>
      </c>
      <c r="HS59" t="e">
        <f>AND(#REF!,"AAAAAHj/7+I=")</f>
        <v>#REF!</v>
      </c>
      <c r="HT59" t="e">
        <f>AND(#REF!,"AAAAAHj/7+M=")</f>
        <v>#REF!</v>
      </c>
      <c r="HU59" t="e">
        <f>AND(#REF!,"AAAAAHj/7+Q=")</f>
        <v>#REF!</v>
      </c>
      <c r="HV59" t="e">
        <f>IF(#REF!,"AAAAAHj/7+U=",0)</f>
        <v>#REF!</v>
      </c>
      <c r="HW59" t="e">
        <f>AND(#REF!,"AAAAAHj/7+Y=")</f>
        <v>#REF!</v>
      </c>
      <c r="HX59" t="e">
        <f>AND(#REF!,"AAAAAHj/7+c=")</f>
        <v>#REF!</v>
      </c>
      <c r="HY59" t="e">
        <f>AND(#REF!,"AAAAAHj/7+g=")</f>
        <v>#REF!</v>
      </c>
      <c r="HZ59" t="e">
        <f>AND(#REF!,"AAAAAHj/7+k=")</f>
        <v>#REF!</v>
      </c>
      <c r="IA59" t="e">
        <f>AND(#REF!,"AAAAAHj/7+o=")</f>
        <v>#REF!</v>
      </c>
      <c r="IB59" t="e">
        <f>AND(#REF!,"AAAAAHj/7+s=")</f>
        <v>#REF!</v>
      </c>
      <c r="IC59" t="e">
        <f>AND(#REF!,"AAAAAHj/7+w=")</f>
        <v>#REF!</v>
      </c>
      <c r="ID59" t="e">
        <f>AND(#REF!,"AAAAAHj/7+0=")</f>
        <v>#REF!</v>
      </c>
      <c r="IE59" t="e">
        <f>AND(#REF!,"AAAAAHj/7+4=")</f>
        <v>#REF!</v>
      </c>
      <c r="IF59" t="e">
        <f>AND(#REF!,"AAAAAHj/7+8=")</f>
        <v>#REF!</v>
      </c>
      <c r="IG59" t="e">
        <f>AND(#REF!,"AAAAAHj/7/A=")</f>
        <v>#REF!</v>
      </c>
      <c r="IH59" t="e">
        <f>AND(#REF!,"AAAAAHj/7/E=")</f>
        <v>#REF!</v>
      </c>
      <c r="II59" t="e">
        <f>AND(#REF!,"AAAAAHj/7/I=")</f>
        <v>#REF!</v>
      </c>
      <c r="IJ59" t="e">
        <f>AND(#REF!,"AAAAAHj/7/M=")</f>
        <v>#REF!</v>
      </c>
      <c r="IK59" t="e">
        <f>AND(#REF!,"AAAAAHj/7/Q=")</f>
        <v>#REF!</v>
      </c>
      <c r="IL59" t="e">
        <f>AND(#REF!,"AAAAAHj/7/U=")</f>
        <v>#REF!</v>
      </c>
      <c r="IM59" t="e">
        <f>IF(#REF!,"AAAAAHj/7/Y=",0)</f>
        <v>#REF!</v>
      </c>
      <c r="IN59" t="e">
        <f>AND(#REF!,"AAAAAHj/7/c=")</f>
        <v>#REF!</v>
      </c>
      <c r="IO59" t="e">
        <f>AND(#REF!,"AAAAAHj/7/g=")</f>
        <v>#REF!</v>
      </c>
      <c r="IP59" t="e">
        <f>AND(#REF!,"AAAAAHj/7/k=")</f>
        <v>#REF!</v>
      </c>
      <c r="IQ59" t="e">
        <f>AND(#REF!,"AAAAAHj/7/o=")</f>
        <v>#REF!</v>
      </c>
      <c r="IR59" t="e">
        <f>AND(#REF!,"AAAAAHj/7/s=")</f>
        <v>#REF!</v>
      </c>
      <c r="IS59" t="e">
        <f>AND(#REF!,"AAAAAHj/7/w=")</f>
        <v>#REF!</v>
      </c>
      <c r="IT59" t="e">
        <f>AND(#REF!,"AAAAAHj/7/0=")</f>
        <v>#REF!</v>
      </c>
      <c r="IU59" t="e">
        <f>AND(#REF!,"AAAAAHj/7/4=")</f>
        <v>#REF!</v>
      </c>
      <c r="IV59" t="e">
        <f>AND(#REF!,"AAAAAHj/7/8=")</f>
        <v>#REF!</v>
      </c>
    </row>
    <row r="60" spans="1:256" x14ac:dyDescent="0.25">
      <c r="A60" t="e">
        <f>AND(#REF!,"AAAAAE+ubQA=")</f>
        <v>#REF!</v>
      </c>
      <c r="B60" t="e">
        <f>AND(#REF!,"AAAAAE+ubQE=")</f>
        <v>#REF!</v>
      </c>
      <c r="C60" t="e">
        <f>AND(#REF!,"AAAAAE+ubQI=")</f>
        <v>#REF!</v>
      </c>
      <c r="D60" t="e">
        <f>AND(#REF!,"AAAAAE+ubQM=")</f>
        <v>#REF!</v>
      </c>
      <c r="E60" t="e">
        <f>AND(#REF!,"AAAAAE+ubQQ=")</f>
        <v>#REF!</v>
      </c>
      <c r="F60" t="e">
        <f>AND(#REF!,"AAAAAE+ubQU=")</f>
        <v>#REF!</v>
      </c>
      <c r="G60" t="e">
        <f>AND(#REF!,"AAAAAE+ubQY=")</f>
        <v>#REF!</v>
      </c>
      <c r="H60" t="e">
        <f>IF(#REF!,"AAAAAE+ubQc=",0)</f>
        <v>#REF!</v>
      </c>
      <c r="I60" t="e">
        <f>AND(#REF!,"AAAAAE+ubQg=")</f>
        <v>#REF!</v>
      </c>
      <c r="J60" t="e">
        <f>AND(#REF!,"AAAAAE+ubQk=")</f>
        <v>#REF!</v>
      </c>
      <c r="K60" t="e">
        <f>AND(#REF!,"AAAAAE+ubQo=")</f>
        <v>#REF!</v>
      </c>
      <c r="L60" t="e">
        <f>AND(#REF!,"AAAAAE+ubQs=")</f>
        <v>#REF!</v>
      </c>
      <c r="M60" t="e">
        <f>AND(#REF!,"AAAAAE+ubQw=")</f>
        <v>#REF!</v>
      </c>
      <c r="N60" t="e">
        <f>AND(#REF!,"AAAAAE+ubQ0=")</f>
        <v>#REF!</v>
      </c>
      <c r="O60" t="e">
        <f>AND(#REF!,"AAAAAE+ubQ4=")</f>
        <v>#REF!</v>
      </c>
      <c r="P60" t="e">
        <f>AND(#REF!,"AAAAAE+ubQ8=")</f>
        <v>#REF!</v>
      </c>
      <c r="Q60" t="e">
        <f>AND(#REF!,"AAAAAE+ubRA=")</f>
        <v>#REF!</v>
      </c>
      <c r="R60" t="e">
        <f>AND(#REF!,"AAAAAE+ubRE=")</f>
        <v>#REF!</v>
      </c>
      <c r="S60" t="e">
        <f>AND(#REF!,"AAAAAE+ubRI=")</f>
        <v>#REF!</v>
      </c>
      <c r="T60" t="e">
        <f>AND(#REF!,"AAAAAE+ubRM=")</f>
        <v>#REF!</v>
      </c>
      <c r="U60" t="e">
        <f>AND(#REF!,"AAAAAE+ubRQ=")</f>
        <v>#REF!</v>
      </c>
      <c r="V60" t="e">
        <f>AND(#REF!,"AAAAAE+ubRU=")</f>
        <v>#REF!</v>
      </c>
      <c r="W60" t="e">
        <f>AND(#REF!,"AAAAAE+ubRY=")</f>
        <v>#REF!</v>
      </c>
      <c r="X60" t="e">
        <f>AND(#REF!,"AAAAAE+ubRc=")</f>
        <v>#REF!</v>
      </c>
      <c r="Y60" t="e">
        <f>IF(#REF!,"AAAAAE+ubRg=",0)</f>
        <v>#REF!</v>
      </c>
      <c r="Z60" t="e">
        <f>AND(#REF!,"AAAAAE+ubRk=")</f>
        <v>#REF!</v>
      </c>
      <c r="AA60" t="e">
        <f>AND(#REF!,"AAAAAE+ubRo=")</f>
        <v>#REF!</v>
      </c>
      <c r="AB60" t="e">
        <f>AND(#REF!,"AAAAAE+ubRs=")</f>
        <v>#REF!</v>
      </c>
      <c r="AC60" t="e">
        <f>AND(#REF!,"AAAAAE+ubRw=")</f>
        <v>#REF!</v>
      </c>
      <c r="AD60" t="e">
        <f>AND(#REF!,"AAAAAE+ubR0=")</f>
        <v>#REF!</v>
      </c>
      <c r="AE60" t="e">
        <f>AND(#REF!,"AAAAAE+ubR4=")</f>
        <v>#REF!</v>
      </c>
      <c r="AF60" t="e">
        <f>AND(#REF!,"AAAAAE+ubR8=")</f>
        <v>#REF!</v>
      </c>
      <c r="AG60" t="e">
        <f>AND(#REF!,"AAAAAE+ubSA=")</f>
        <v>#REF!</v>
      </c>
      <c r="AH60" t="e">
        <f>AND(#REF!,"AAAAAE+ubSE=")</f>
        <v>#REF!</v>
      </c>
      <c r="AI60" t="e">
        <f>AND(#REF!,"AAAAAE+ubSI=")</f>
        <v>#REF!</v>
      </c>
      <c r="AJ60" t="e">
        <f>AND(#REF!,"AAAAAE+ubSM=")</f>
        <v>#REF!</v>
      </c>
      <c r="AK60" t="e">
        <f>AND(#REF!,"AAAAAE+ubSQ=")</f>
        <v>#REF!</v>
      </c>
      <c r="AL60" t="e">
        <f>AND(#REF!,"AAAAAE+ubSU=")</f>
        <v>#REF!</v>
      </c>
      <c r="AM60" t="e">
        <f>AND(#REF!,"AAAAAE+ubSY=")</f>
        <v>#REF!</v>
      </c>
      <c r="AN60" t="e">
        <f>AND(#REF!,"AAAAAE+ubSc=")</f>
        <v>#REF!</v>
      </c>
      <c r="AO60" t="e">
        <f>AND(#REF!,"AAAAAE+ubSg=")</f>
        <v>#REF!</v>
      </c>
      <c r="AP60" t="e">
        <f>IF(#REF!,"AAAAAE+ubSk=",0)</f>
        <v>#REF!</v>
      </c>
      <c r="AQ60" t="e">
        <f>AND(#REF!,"AAAAAE+ubSo=")</f>
        <v>#REF!</v>
      </c>
      <c r="AR60" t="e">
        <f>AND(#REF!,"AAAAAE+ubSs=")</f>
        <v>#REF!</v>
      </c>
      <c r="AS60" t="e">
        <f>AND(#REF!,"AAAAAE+ubSw=")</f>
        <v>#REF!</v>
      </c>
      <c r="AT60" t="e">
        <f>AND(#REF!,"AAAAAE+ubS0=")</f>
        <v>#REF!</v>
      </c>
      <c r="AU60" t="e">
        <f>AND(#REF!,"AAAAAE+ubS4=")</f>
        <v>#REF!</v>
      </c>
      <c r="AV60" t="e">
        <f>AND(#REF!,"AAAAAE+ubS8=")</f>
        <v>#REF!</v>
      </c>
      <c r="AW60" t="e">
        <f>AND(#REF!,"AAAAAE+ubTA=")</f>
        <v>#REF!</v>
      </c>
      <c r="AX60" t="e">
        <f>AND(#REF!,"AAAAAE+ubTE=")</f>
        <v>#REF!</v>
      </c>
      <c r="AY60" t="e">
        <f>AND(#REF!,"AAAAAE+ubTI=")</f>
        <v>#REF!</v>
      </c>
      <c r="AZ60" t="e">
        <f>AND(#REF!,"AAAAAE+ubTM=")</f>
        <v>#REF!</v>
      </c>
      <c r="BA60" t="e">
        <f>AND(#REF!,"AAAAAE+ubTQ=")</f>
        <v>#REF!</v>
      </c>
      <c r="BB60" t="e">
        <f>AND(#REF!,"AAAAAE+ubTU=")</f>
        <v>#REF!</v>
      </c>
      <c r="BC60" t="e">
        <f>AND(#REF!,"AAAAAE+ubTY=")</f>
        <v>#REF!</v>
      </c>
      <c r="BD60" t="e">
        <f>AND(#REF!,"AAAAAE+ubTc=")</f>
        <v>#REF!</v>
      </c>
      <c r="BE60" t="e">
        <f>AND(#REF!,"AAAAAE+ubTg=")</f>
        <v>#REF!</v>
      </c>
      <c r="BF60" t="e">
        <f>AND(#REF!,"AAAAAE+ubTk=")</f>
        <v>#REF!</v>
      </c>
      <c r="BG60" t="e">
        <f>IF(#REF!,"AAAAAE+ubTo=",0)</f>
        <v>#REF!</v>
      </c>
      <c r="BH60" t="e">
        <f>AND(#REF!,"AAAAAE+ubTs=")</f>
        <v>#REF!</v>
      </c>
      <c r="BI60" t="e">
        <f>AND(#REF!,"AAAAAE+ubTw=")</f>
        <v>#REF!</v>
      </c>
      <c r="BJ60" t="e">
        <f>AND(#REF!,"AAAAAE+ubT0=")</f>
        <v>#REF!</v>
      </c>
      <c r="BK60" t="e">
        <f>AND(#REF!,"AAAAAE+ubT4=")</f>
        <v>#REF!</v>
      </c>
      <c r="BL60" t="e">
        <f>AND(#REF!,"AAAAAE+ubT8=")</f>
        <v>#REF!</v>
      </c>
      <c r="BM60" t="e">
        <f>AND(#REF!,"AAAAAE+ubUA=")</f>
        <v>#REF!</v>
      </c>
      <c r="BN60" t="e">
        <f>AND(#REF!,"AAAAAE+ubUE=")</f>
        <v>#REF!</v>
      </c>
      <c r="BO60" t="e">
        <f>AND(#REF!,"AAAAAE+ubUI=")</f>
        <v>#REF!</v>
      </c>
      <c r="BP60" t="e">
        <f>AND(#REF!,"AAAAAE+ubUM=")</f>
        <v>#REF!</v>
      </c>
      <c r="BQ60" t="e">
        <f>AND(#REF!,"AAAAAE+ubUQ=")</f>
        <v>#REF!</v>
      </c>
      <c r="BR60" t="e">
        <f>AND(#REF!,"AAAAAE+ubUU=")</f>
        <v>#REF!</v>
      </c>
      <c r="BS60" t="e">
        <f>AND(#REF!,"AAAAAE+ubUY=")</f>
        <v>#REF!</v>
      </c>
      <c r="BT60" t="e">
        <f>AND(#REF!,"AAAAAE+ubUc=")</f>
        <v>#REF!</v>
      </c>
      <c r="BU60" t="e">
        <f>AND(#REF!,"AAAAAE+ubUg=")</f>
        <v>#REF!</v>
      </c>
      <c r="BV60" t="e">
        <f>AND(#REF!,"AAAAAE+ubUk=")</f>
        <v>#REF!</v>
      </c>
      <c r="BW60" t="e">
        <f>AND(#REF!,"AAAAAE+ubUo=")</f>
        <v>#REF!</v>
      </c>
      <c r="BX60" t="e">
        <f>IF(#REF!,"AAAAAE+ubUs=",0)</f>
        <v>#REF!</v>
      </c>
      <c r="BY60" t="e">
        <f>AND(#REF!,"AAAAAE+ubUw=")</f>
        <v>#REF!</v>
      </c>
      <c r="BZ60" t="e">
        <f>AND(#REF!,"AAAAAE+ubU0=")</f>
        <v>#REF!</v>
      </c>
      <c r="CA60" t="e">
        <f>AND(#REF!,"AAAAAE+ubU4=")</f>
        <v>#REF!</v>
      </c>
      <c r="CB60" t="e">
        <f>AND(#REF!,"AAAAAE+ubU8=")</f>
        <v>#REF!</v>
      </c>
      <c r="CC60" t="e">
        <f>AND(#REF!,"AAAAAE+ubVA=")</f>
        <v>#REF!</v>
      </c>
      <c r="CD60" t="e">
        <f>AND(#REF!,"AAAAAE+ubVE=")</f>
        <v>#REF!</v>
      </c>
      <c r="CE60" t="e">
        <f>AND(#REF!,"AAAAAE+ubVI=")</f>
        <v>#REF!</v>
      </c>
      <c r="CF60" t="e">
        <f>AND(#REF!,"AAAAAE+ubVM=")</f>
        <v>#REF!</v>
      </c>
      <c r="CG60" t="e">
        <f>AND(#REF!,"AAAAAE+ubVQ=")</f>
        <v>#REF!</v>
      </c>
      <c r="CH60" t="e">
        <f>AND(#REF!,"AAAAAE+ubVU=")</f>
        <v>#REF!</v>
      </c>
      <c r="CI60" t="e">
        <f>AND(#REF!,"AAAAAE+ubVY=")</f>
        <v>#REF!</v>
      </c>
      <c r="CJ60" t="e">
        <f>AND(#REF!,"AAAAAE+ubVc=")</f>
        <v>#REF!</v>
      </c>
      <c r="CK60" t="e">
        <f>AND(#REF!,"AAAAAE+ubVg=")</f>
        <v>#REF!</v>
      </c>
      <c r="CL60" t="e">
        <f>AND(#REF!,"AAAAAE+ubVk=")</f>
        <v>#REF!</v>
      </c>
      <c r="CM60" t="e">
        <f>AND(#REF!,"AAAAAE+ubVo=")</f>
        <v>#REF!</v>
      </c>
      <c r="CN60" t="e">
        <f>AND(#REF!,"AAAAAE+ubVs=")</f>
        <v>#REF!</v>
      </c>
      <c r="CO60" t="e">
        <f>IF(#REF!,"AAAAAE+ubVw=",0)</f>
        <v>#REF!</v>
      </c>
      <c r="CP60" t="e">
        <f>AND(#REF!,"AAAAAE+ubV0=")</f>
        <v>#REF!</v>
      </c>
      <c r="CQ60" t="e">
        <f>AND(#REF!,"AAAAAE+ubV4=")</f>
        <v>#REF!</v>
      </c>
      <c r="CR60" t="e">
        <f>AND(#REF!,"AAAAAE+ubV8=")</f>
        <v>#REF!</v>
      </c>
      <c r="CS60" t="e">
        <f>AND(#REF!,"AAAAAE+ubWA=")</f>
        <v>#REF!</v>
      </c>
      <c r="CT60" t="e">
        <f>AND(#REF!,"AAAAAE+ubWE=")</f>
        <v>#REF!</v>
      </c>
      <c r="CU60" t="e">
        <f>AND(#REF!,"AAAAAE+ubWI=")</f>
        <v>#REF!</v>
      </c>
      <c r="CV60" t="e">
        <f>AND(#REF!,"AAAAAE+ubWM=")</f>
        <v>#REF!</v>
      </c>
      <c r="CW60" t="e">
        <f>AND(#REF!,"AAAAAE+ubWQ=")</f>
        <v>#REF!</v>
      </c>
      <c r="CX60" t="e">
        <f>AND(#REF!,"AAAAAE+ubWU=")</f>
        <v>#REF!</v>
      </c>
      <c r="CY60" t="e">
        <f>AND(#REF!,"AAAAAE+ubWY=")</f>
        <v>#REF!</v>
      </c>
      <c r="CZ60" t="e">
        <f>AND(#REF!,"AAAAAE+ubWc=")</f>
        <v>#REF!</v>
      </c>
      <c r="DA60" t="e">
        <f>AND(#REF!,"AAAAAE+ubWg=")</f>
        <v>#REF!</v>
      </c>
      <c r="DB60" t="e">
        <f>AND(#REF!,"AAAAAE+ubWk=")</f>
        <v>#REF!</v>
      </c>
      <c r="DC60" t="e">
        <f>AND(#REF!,"AAAAAE+ubWo=")</f>
        <v>#REF!</v>
      </c>
      <c r="DD60" t="e">
        <f>AND(#REF!,"AAAAAE+ubWs=")</f>
        <v>#REF!</v>
      </c>
      <c r="DE60" t="e">
        <f>AND(#REF!,"AAAAAE+ubWw=")</f>
        <v>#REF!</v>
      </c>
      <c r="DF60" t="e">
        <f>IF(#REF!,"AAAAAE+ubW0=",0)</f>
        <v>#REF!</v>
      </c>
      <c r="DG60" t="e">
        <f>AND(#REF!,"AAAAAE+ubW4=")</f>
        <v>#REF!</v>
      </c>
      <c r="DH60" t="e">
        <f>AND(#REF!,"AAAAAE+ubW8=")</f>
        <v>#REF!</v>
      </c>
      <c r="DI60" t="e">
        <f>AND(#REF!,"AAAAAE+ubXA=")</f>
        <v>#REF!</v>
      </c>
      <c r="DJ60" t="e">
        <f>AND(#REF!,"AAAAAE+ubXE=")</f>
        <v>#REF!</v>
      </c>
      <c r="DK60" t="e">
        <f>AND(#REF!,"AAAAAE+ubXI=")</f>
        <v>#REF!</v>
      </c>
      <c r="DL60" t="e">
        <f>AND(#REF!,"AAAAAE+ubXM=")</f>
        <v>#REF!</v>
      </c>
      <c r="DM60" t="e">
        <f>AND(#REF!,"AAAAAE+ubXQ=")</f>
        <v>#REF!</v>
      </c>
      <c r="DN60" t="e">
        <f>AND(#REF!,"AAAAAE+ubXU=")</f>
        <v>#REF!</v>
      </c>
      <c r="DO60" t="e">
        <f>AND(#REF!,"AAAAAE+ubXY=")</f>
        <v>#REF!</v>
      </c>
      <c r="DP60" t="e">
        <f>AND(#REF!,"AAAAAE+ubXc=")</f>
        <v>#REF!</v>
      </c>
      <c r="DQ60" t="e">
        <f>AND(#REF!,"AAAAAE+ubXg=")</f>
        <v>#REF!</v>
      </c>
      <c r="DR60" t="e">
        <f>AND(#REF!,"AAAAAE+ubXk=")</f>
        <v>#REF!</v>
      </c>
      <c r="DS60" t="e">
        <f>AND(#REF!,"AAAAAE+ubXo=")</f>
        <v>#REF!</v>
      </c>
      <c r="DT60" t="e">
        <f>AND(#REF!,"AAAAAE+ubXs=")</f>
        <v>#REF!</v>
      </c>
      <c r="DU60" t="e">
        <f>AND(#REF!,"AAAAAE+ubXw=")</f>
        <v>#REF!</v>
      </c>
      <c r="DV60" t="e">
        <f>AND(#REF!,"AAAAAE+ubX0=")</f>
        <v>#REF!</v>
      </c>
      <c r="DW60" t="e">
        <f>IF(#REF!,"AAAAAE+ubX4=",0)</f>
        <v>#REF!</v>
      </c>
      <c r="DX60" t="e">
        <f>AND(#REF!,"AAAAAE+ubX8=")</f>
        <v>#REF!</v>
      </c>
      <c r="DY60" t="e">
        <f>AND(#REF!,"AAAAAE+ubYA=")</f>
        <v>#REF!</v>
      </c>
      <c r="DZ60" t="e">
        <f>AND(#REF!,"AAAAAE+ubYE=")</f>
        <v>#REF!</v>
      </c>
      <c r="EA60" t="e">
        <f>AND(#REF!,"AAAAAE+ubYI=")</f>
        <v>#REF!</v>
      </c>
      <c r="EB60" t="e">
        <f>AND(#REF!,"AAAAAE+ubYM=")</f>
        <v>#REF!</v>
      </c>
      <c r="EC60" t="e">
        <f>AND(#REF!,"AAAAAE+ubYQ=")</f>
        <v>#REF!</v>
      </c>
      <c r="ED60" t="e">
        <f>AND(#REF!,"AAAAAE+ubYU=")</f>
        <v>#REF!</v>
      </c>
      <c r="EE60" t="e">
        <f>AND(#REF!,"AAAAAE+ubYY=")</f>
        <v>#REF!</v>
      </c>
      <c r="EF60" t="e">
        <f>AND(#REF!,"AAAAAE+ubYc=")</f>
        <v>#REF!</v>
      </c>
      <c r="EG60" t="e">
        <f>AND(#REF!,"AAAAAE+ubYg=")</f>
        <v>#REF!</v>
      </c>
      <c r="EH60" t="e">
        <f>AND(#REF!,"AAAAAE+ubYk=")</f>
        <v>#REF!</v>
      </c>
      <c r="EI60" t="e">
        <f>AND(#REF!,"AAAAAE+ubYo=")</f>
        <v>#REF!</v>
      </c>
      <c r="EJ60" t="e">
        <f>AND(#REF!,"AAAAAE+ubYs=")</f>
        <v>#REF!</v>
      </c>
      <c r="EK60" t="e">
        <f>AND(#REF!,"AAAAAE+ubYw=")</f>
        <v>#REF!</v>
      </c>
      <c r="EL60" t="e">
        <f>AND(#REF!,"AAAAAE+ubY0=")</f>
        <v>#REF!</v>
      </c>
      <c r="EM60" t="e">
        <f>AND(#REF!,"AAAAAE+ubY4=")</f>
        <v>#REF!</v>
      </c>
      <c r="EN60" t="e">
        <f>IF(#REF!,"AAAAAE+ubY8=",0)</f>
        <v>#REF!</v>
      </c>
      <c r="EO60" t="e">
        <f>AND(#REF!,"AAAAAE+ubZA=")</f>
        <v>#REF!</v>
      </c>
      <c r="EP60" t="e">
        <f>AND(#REF!,"AAAAAE+ubZE=")</f>
        <v>#REF!</v>
      </c>
      <c r="EQ60" t="e">
        <f>AND(#REF!,"AAAAAE+ubZI=")</f>
        <v>#REF!</v>
      </c>
      <c r="ER60" t="e">
        <f>AND(#REF!,"AAAAAE+ubZM=")</f>
        <v>#REF!</v>
      </c>
      <c r="ES60" t="e">
        <f>AND(#REF!,"AAAAAE+ubZQ=")</f>
        <v>#REF!</v>
      </c>
      <c r="ET60" t="e">
        <f>AND(#REF!,"AAAAAE+ubZU=")</f>
        <v>#REF!</v>
      </c>
      <c r="EU60" t="e">
        <f>AND(#REF!,"AAAAAE+ubZY=")</f>
        <v>#REF!</v>
      </c>
      <c r="EV60" t="e">
        <f>AND(#REF!,"AAAAAE+ubZc=")</f>
        <v>#REF!</v>
      </c>
      <c r="EW60" t="e">
        <f>AND(#REF!,"AAAAAE+ubZg=")</f>
        <v>#REF!</v>
      </c>
      <c r="EX60" t="e">
        <f>AND(#REF!,"AAAAAE+ubZk=")</f>
        <v>#REF!</v>
      </c>
      <c r="EY60" t="e">
        <f>AND(#REF!,"AAAAAE+ubZo=")</f>
        <v>#REF!</v>
      </c>
      <c r="EZ60" t="e">
        <f>AND(#REF!,"AAAAAE+ubZs=")</f>
        <v>#REF!</v>
      </c>
      <c r="FA60" t="e">
        <f>AND(#REF!,"AAAAAE+ubZw=")</f>
        <v>#REF!</v>
      </c>
      <c r="FB60" t="e">
        <f>AND(#REF!,"AAAAAE+ubZ0=")</f>
        <v>#REF!</v>
      </c>
      <c r="FC60" t="e">
        <f>AND(#REF!,"AAAAAE+ubZ4=")</f>
        <v>#REF!</v>
      </c>
      <c r="FD60" t="e">
        <f>AND(#REF!,"AAAAAE+ubZ8=")</f>
        <v>#REF!</v>
      </c>
      <c r="FE60" t="e">
        <f>IF(#REF!,"AAAAAE+ubaA=",0)</f>
        <v>#REF!</v>
      </c>
      <c r="FF60" t="e">
        <f>AND(#REF!,"AAAAAE+ubaE=")</f>
        <v>#REF!</v>
      </c>
      <c r="FG60" t="e">
        <f>AND(#REF!,"AAAAAE+ubaI=")</f>
        <v>#REF!</v>
      </c>
      <c r="FH60" t="e">
        <f>AND(#REF!,"AAAAAE+ubaM=")</f>
        <v>#REF!</v>
      </c>
      <c r="FI60" t="e">
        <f>AND(#REF!,"AAAAAE+ubaQ=")</f>
        <v>#REF!</v>
      </c>
      <c r="FJ60" t="e">
        <f>AND(#REF!,"AAAAAE+ubaU=")</f>
        <v>#REF!</v>
      </c>
      <c r="FK60" t="e">
        <f>AND(#REF!,"AAAAAE+ubaY=")</f>
        <v>#REF!</v>
      </c>
      <c r="FL60" t="e">
        <f>AND(#REF!,"AAAAAE+ubac=")</f>
        <v>#REF!</v>
      </c>
      <c r="FM60" t="e">
        <f>AND(#REF!,"AAAAAE+ubag=")</f>
        <v>#REF!</v>
      </c>
      <c r="FN60" t="e">
        <f>AND(#REF!,"AAAAAE+ubak=")</f>
        <v>#REF!</v>
      </c>
      <c r="FO60" t="e">
        <f>AND(#REF!,"AAAAAE+ubao=")</f>
        <v>#REF!</v>
      </c>
      <c r="FP60" t="e">
        <f>AND(#REF!,"AAAAAE+ubas=")</f>
        <v>#REF!</v>
      </c>
      <c r="FQ60" t="e">
        <f>AND(#REF!,"AAAAAE+ubaw=")</f>
        <v>#REF!</v>
      </c>
      <c r="FR60" t="e">
        <f>AND(#REF!,"AAAAAE+uba0=")</f>
        <v>#REF!</v>
      </c>
      <c r="FS60" t="e">
        <f>AND(#REF!,"AAAAAE+uba4=")</f>
        <v>#REF!</v>
      </c>
      <c r="FT60" t="e">
        <f>AND(#REF!,"AAAAAE+uba8=")</f>
        <v>#REF!</v>
      </c>
      <c r="FU60" t="e">
        <f>AND(#REF!,"AAAAAE+ubbA=")</f>
        <v>#REF!</v>
      </c>
      <c r="FV60" t="e">
        <f>IF(#REF!,"AAAAAE+ubbE=",0)</f>
        <v>#REF!</v>
      </c>
      <c r="FW60" t="e">
        <f>AND(#REF!,"AAAAAE+ubbI=")</f>
        <v>#REF!</v>
      </c>
      <c r="FX60" t="e">
        <f>AND(#REF!,"AAAAAE+ubbM=")</f>
        <v>#REF!</v>
      </c>
      <c r="FY60" t="e">
        <f>AND(#REF!,"AAAAAE+ubbQ=")</f>
        <v>#REF!</v>
      </c>
      <c r="FZ60" t="e">
        <f>AND(#REF!,"AAAAAE+ubbU=")</f>
        <v>#REF!</v>
      </c>
      <c r="GA60" t="e">
        <f>AND(#REF!,"AAAAAE+ubbY=")</f>
        <v>#REF!</v>
      </c>
      <c r="GB60" t="e">
        <f>AND(#REF!,"AAAAAE+ubbc=")</f>
        <v>#REF!</v>
      </c>
      <c r="GC60" t="e">
        <f>AND(#REF!,"AAAAAE+ubbg=")</f>
        <v>#REF!</v>
      </c>
      <c r="GD60" t="e">
        <f>AND(#REF!,"AAAAAE+ubbk=")</f>
        <v>#REF!</v>
      </c>
      <c r="GE60" t="e">
        <f>AND(#REF!,"AAAAAE+ubbo=")</f>
        <v>#REF!</v>
      </c>
      <c r="GF60" t="e">
        <f>AND(#REF!,"AAAAAE+ubbs=")</f>
        <v>#REF!</v>
      </c>
      <c r="GG60" t="e">
        <f>AND(#REF!,"AAAAAE+ubbw=")</f>
        <v>#REF!</v>
      </c>
      <c r="GH60" t="e">
        <f>AND(#REF!,"AAAAAE+ubb0=")</f>
        <v>#REF!</v>
      </c>
      <c r="GI60" t="e">
        <f>AND(#REF!,"AAAAAE+ubb4=")</f>
        <v>#REF!</v>
      </c>
      <c r="GJ60" t="e">
        <f>AND(#REF!,"AAAAAE+ubb8=")</f>
        <v>#REF!</v>
      </c>
      <c r="GK60" t="e">
        <f>AND(#REF!,"AAAAAE+ubcA=")</f>
        <v>#REF!</v>
      </c>
      <c r="GL60" t="e">
        <f>AND(#REF!,"AAAAAE+ubcE=")</f>
        <v>#REF!</v>
      </c>
      <c r="GM60" t="e">
        <f>IF(#REF!,"AAAAAE+ubcI=",0)</f>
        <v>#REF!</v>
      </c>
      <c r="GN60" t="e">
        <f>AND(#REF!,"AAAAAE+ubcM=")</f>
        <v>#REF!</v>
      </c>
      <c r="GO60" t="e">
        <f>AND(#REF!,"AAAAAE+ubcQ=")</f>
        <v>#REF!</v>
      </c>
      <c r="GP60" t="e">
        <f>AND(#REF!,"AAAAAE+ubcU=")</f>
        <v>#REF!</v>
      </c>
      <c r="GQ60" t="e">
        <f>AND(#REF!,"AAAAAE+ubcY=")</f>
        <v>#REF!</v>
      </c>
      <c r="GR60" t="e">
        <f>AND(#REF!,"AAAAAE+ubcc=")</f>
        <v>#REF!</v>
      </c>
      <c r="GS60" t="e">
        <f>AND(#REF!,"AAAAAE+ubcg=")</f>
        <v>#REF!</v>
      </c>
      <c r="GT60" t="e">
        <f>AND(#REF!,"AAAAAE+ubck=")</f>
        <v>#REF!</v>
      </c>
      <c r="GU60" t="e">
        <f>AND(#REF!,"AAAAAE+ubco=")</f>
        <v>#REF!</v>
      </c>
      <c r="GV60" t="e">
        <f>AND(#REF!,"AAAAAE+ubcs=")</f>
        <v>#REF!</v>
      </c>
      <c r="GW60" t="e">
        <f>AND(#REF!,"AAAAAE+ubcw=")</f>
        <v>#REF!</v>
      </c>
      <c r="GX60" t="e">
        <f>AND(#REF!,"AAAAAE+ubc0=")</f>
        <v>#REF!</v>
      </c>
      <c r="GY60" t="e">
        <f>AND(#REF!,"AAAAAE+ubc4=")</f>
        <v>#REF!</v>
      </c>
      <c r="GZ60" t="e">
        <f>AND(#REF!,"AAAAAE+ubc8=")</f>
        <v>#REF!</v>
      </c>
      <c r="HA60" t="e">
        <f>AND(#REF!,"AAAAAE+ubdA=")</f>
        <v>#REF!</v>
      </c>
      <c r="HB60" t="e">
        <f>AND(#REF!,"AAAAAE+ubdE=")</f>
        <v>#REF!</v>
      </c>
      <c r="HC60" t="e">
        <f>AND(#REF!,"AAAAAE+ubdI=")</f>
        <v>#REF!</v>
      </c>
      <c r="HD60" t="e">
        <f>IF(#REF!,"AAAAAE+ubdM=",0)</f>
        <v>#REF!</v>
      </c>
      <c r="HE60" t="e">
        <f>AND(#REF!,"AAAAAE+ubdQ=")</f>
        <v>#REF!</v>
      </c>
      <c r="HF60" t="e">
        <f>AND(#REF!,"AAAAAE+ubdU=")</f>
        <v>#REF!</v>
      </c>
      <c r="HG60" t="e">
        <f>AND(#REF!,"AAAAAE+ubdY=")</f>
        <v>#REF!</v>
      </c>
      <c r="HH60" t="e">
        <f>AND(#REF!,"AAAAAE+ubdc=")</f>
        <v>#REF!</v>
      </c>
      <c r="HI60" t="e">
        <f>AND(#REF!,"AAAAAE+ubdg=")</f>
        <v>#REF!</v>
      </c>
      <c r="HJ60" t="e">
        <f>AND(#REF!,"AAAAAE+ubdk=")</f>
        <v>#REF!</v>
      </c>
      <c r="HK60" t="e">
        <f>AND(#REF!,"AAAAAE+ubdo=")</f>
        <v>#REF!</v>
      </c>
      <c r="HL60" t="e">
        <f>AND(#REF!,"AAAAAE+ubds=")</f>
        <v>#REF!</v>
      </c>
      <c r="HM60" t="e">
        <f>AND(#REF!,"AAAAAE+ubdw=")</f>
        <v>#REF!</v>
      </c>
      <c r="HN60" t="e">
        <f>AND(#REF!,"AAAAAE+ubd0=")</f>
        <v>#REF!</v>
      </c>
      <c r="HO60" t="e">
        <f>AND(#REF!,"AAAAAE+ubd4=")</f>
        <v>#REF!</v>
      </c>
      <c r="HP60" t="e">
        <f>AND(#REF!,"AAAAAE+ubd8=")</f>
        <v>#REF!</v>
      </c>
      <c r="HQ60" t="e">
        <f>AND(#REF!,"AAAAAE+ubeA=")</f>
        <v>#REF!</v>
      </c>
      <c r="HR60" t="e">
        <f>AND(#REF!,"AAAAAE+ubeE=")</f>
        <v>#REF!</v>
      </c>
      <c r="HS60" t="e">
        <f>AND(#REF!,"AAAAAE+ubeI=")</f>
        <v>#REF!</v>
      </c>
      <c r="HT60" t="e">
        <f>AND(#REF!,"AAAAAE+ubeM=")</f>
        <v>#REF!</v>
      </c>
      <c r="HU60" t="e">
        <f>IF(#REF!,"AAAAAE+ubeQ=",0)</f>
        <v>#REF!</v>
      </c>
      <c r="HV60" t="e">
        <f>AND(#REF!,"AAAAAE+ubeU=")</f>
        <v>#REF!</v>
      </c>
      <c r="HW60" t="e">
        <f>AND(#REF!,"AAAAAE+ubeY=")</f>
        <v>#REF!</v>
      </c>
      <c r="HX60" t="e">
        <f>AND(#REF!,"AAAAAE+ubec=")</f>
        <v>#REF!</v>
      </c>
      <c r="HY60" t="e">
        <f>AND(#REF!,"AAAAAE+ubeg=")</f>
        <v>#REF!</v>
      </c>
      <c r="HZ60" t="e">
        <f>AND(#REF!,"AAAAAE+ubek=")</f>
        <v>#REF!</v>
      </c>
      <c r="IA60" t="e">
        <f>AND(#REF!,"AAAAAE+ubeo=")</f>
        <v>#REF!</v>
      </c>
      <c r="IB60" t="e">
        <f>AND(#REF!,"AAAAAE+ubes=")</f>
        <v>#REF!</v>
      </c>
      <c r="IC60" t="e">
        <f>AND(#REF!,"AAAAAE+ubew=")</f>
        <v>#REF!</v>
      </c>
      <c r="ID60" t="e">
        <f>AND(#REF!,"AAAAAE+ube0=")</f>
        <v>#REF!</v>
      </c>
      <c r="IE60" t="e">
        <f>AND(#REF!,"AAAAAE+ube4=")</f>
        <v>#REF!</v>
      </c>
      <c r="IF60" t="e">
        <f>AND(#REF!,"AAAAAE+ube8=")</f>
        <v>#REF!</v>
      </c>
      <c r="IG60" t="e">
        <f>AND(#REF!,"AAAAAE+ubfA=")</f>
        <v>#REF!</v>
      </c>
      <c r="IH60" t="e">
        <f>AND(#REF!,"AAAAAE+ubfE=")</f>
        <v>#REF!</v>
      </c>
      <c r="II60" t="e">
        <f>AND(#REF!,"AAAAAE+ubfI=")</f>
        <v>#REF!</v>
      </c>
      <c r="IJ60" t="e">
        <f>AND(#REF!,"AAAAAE+ubfM=")</f>
        <v>#REF!</v>
      </c>
      <c r="IK60" t="e">
        <f>AND(#REF!,"AAAAAE+ubfQ=")</f>
        <v>#REF!</v>
      </c>
      <c r="IL60" t="e">
        <f>IF(#REF!,"AAAAAE+ubfU=",0)</f>
        <v>#REF!</v>
      </c>
      <c r="IM60" t="e">
        <f>AND(#REF!,"AAAAAE+ubfY=")</f>
        <v>#REF!</v>
      </c>
      <c r="IN60" t="e">
        <f>AND(#REF!,"AAAAAE+ubfc=")</f>
        <v>#REF!</v>
      </c>
      <c r="IO60" t="e">
        <f>AND(#REF!,"AAAAAE+ubfg=")</f>
        <v>#REF!</v>
      </c>
      <c r="IP60" t="e">
        <f>AND(#REF!,"AAAAAE+ubfk=")</f>
        <v>#REF!</v>
      </c>
      <c r="IQ60" t="e">
        <f>AND(#REF!,"AAAAAE+ubfo=")</f>
        <v>#REF!</v>
      </c>
      <c r="IR60" t="e">
        <f>AND(#REF!,"AAAAAE+ubfs=")</f>
        <v>#REF!</v>
      </c>
      <c r="IS60" t="e">
        <f>AND(#REF!,"AAAAAE+ubfw=")</f>
        <v>#REF!</v>
      </c>
      <c r="IT60" t="e">
        <f>AND(#REF!,"AAAAAE+ubf0=")</f>
        <v>#REF!</v>
      </c>
      <c r="IU60" t="e">
        <f>AND(#REF!,"AAAAAE+ubf4=")</f>
        <v>#REF!</v>
      </c>
      <c r="IV60" t="e">
        <f>AND(#REF!,"AAAAAE+ubf8=")</f>
        <v>#REF!</v>
      </c>
    </row>
    <row r="61" spans="1:256" x14ac:dyDescent="0.25">
      <c r="A61" t="e">
        <f>AND(#REF!,"AAAAAG/9jQA=")</f>
        <v>#REF!</v>
      </c>
      <c r="B61" t="e">
        <f>AND(#REF!,"AAAAAG/9jQE=")</f>
        <v>#REF!</v>
      </c>
      <c r="C61" t="e">
        <f>AND(#REF!,"AAAAAG/9jQI=")</f>
        <v>#REF!</v>
      </c>
      <c r="D61" t="e">
        <f>AND(#REF!,"AAAAAG/9jQM=")</f>
        <v>#REF!</v>
      </c>
      <c r="E61" t="e">
        <f>AND(#REF!,"AAAAAG/9jQQ=")</f>
        <v>#REF!</v>
      </c>
      <c r="F61" t="e">
        <f>AND(#REF!,"AAAAAG/9jQU=")</f>
        <v>#REF!</v>
      </c>
      <c r="G61" t="e">
        <f>IF(#REF!,"AAAAAG/9jQY=",0)</f>
        <v>#REF!</v>
      </c>
      <c r="H61" t="e">
        <f>AND(#REF!,"AAAAAG/9jQc=")</f>
        <v>#REF!</v>
      </c>
      <c r="I61" t="e">
        <f>AND(#REF!,"AAAAAG/9jQg=")</f>
        <v>#REF!</v>
      </c>
      <c r="J61" t="e">
        <f>AND(#REF!,"AAAAAG/9jQk=")</f>
        <v>#REF!</v>
      </c>
      <c r="K61" t="e">
        <f>AND(#REF!,"AAAAAG/9jQo=")</f>
        <v>#REF!</v>
      </c>
      <c r="L61" t="e">
        <f>AND(#REF!,"AAAAAG/9jQs=")</f>
        <v>#REF!</v>
      </c>
      <c r="M61" t="e">
        <f>AND(#REF!,"AAAAAG/9jQw=")</f>
        <v>#REF!</v>
      </c>
      <c r="N61" t="e">
        <f>AND(#REF!,"AAAAAG/9jQ0=")</f>
        <v>#REF!</v>
      </c>
      <c r="O61" t="e">
        <f>AND(#REF!,"AAAAAG/9jQ4=")</f>
        <v>#REF!</v>
      </c>
      <c r="P61" t="e">
        <f>AND(#REF!,"AAAAAG/9jQ8=")</f>
        <v>#REF!</v>
      </c>
      <c r="Q61" t="e">
        <f>AND(#REF!,"AAAAAG/9jRA=")</f>
        <v>#REF!</v>
      </c>
      <c r="R61" t="e">
        <f>AND(#REF!,"AAAAAG/9jRE=")</f>
        <v>#REF!</v>
      </c>
      <c r="S61" t="e">
        <f>AND(#REF!,"AAAAAG/9jRI=")</f>
        <v>#REF!</v>
      </c>
      <c r="T61" t="e">
        <f>AND(#REF!,"AAAAAG/9jRM=")</f>
        <v>#REF!</v>
      </c>
      <c r="U61" t="e">
        <f>AND(#REF!,"AAAAAG/9jRQ=")</f>
        <v>#REF!</v>
      </c>
      <c r="V61" t="e">
        <f>AND(#REF!,"AAAAAG/9jRU=")</f>
        <v>#REF!</v>
      </c>
      <c r="W61" t="e">
        <f>AND(#REF!,"AAAAAG/9jRY=")</f>
        <v>#REF!</v>
      </c>
      <c r="X61" t="e">
        <f>IF(#REF!,"AAAAAG/9jRc=",0)</f>
        <v>#REF!</v>
      </c>
      <c r="Y61" t="e">
        <f>AND(#REF!,"AAAAAG/9jRg=")</f>
        <v>#REF!</v>
      </c>
      <c r="Z61" t="e">
        <f>AND(#REF!,"AAAAAG/9jRk=")</f>
        <v>#REF!</v>
      </c>
      <c r="AA61" t="e">
        <f>AND(#REF!,"AAAAAG/9jRo=")</f>
        <v>#REF!</v>
      </c>
      <c r="AB61" t="e">
        <f>AND(#REF!,"AAAAAG/9jRs=")</f>
        <v>#REF!</v>
      </c>
      <c r="AC61" t="e">
        <f>AND(#REF!,"AAAAAG/9jRw=")</f>
        <v>#REF!</v>
      </c>
      <c r="AD61" t="e">
        <f>AND(#REF!,"AAAAAG/9jR0=")</f>
        <v>#REF!</v>
      </c>
      <c r="AE61" t="e">
        <f>AND(#REF!,"AAAAAG/9jR4=")</f>
        <v>#REF!</v>
      </c>
      <c r="AF61" t="e">
        <f>AND(#REF!,"AAAAAG/9jR8=")</f>
        <v>#REF!</v>
      </c>
      <c r="AG61" t="e">
        <f>AND(#REF!,"AAAAAG/9jSA=")</f>
        <v>#REF!</v>
      </c>
      <c r="AH61" t="e">
        <f>AND(#REF!,"AAAAAG/9jSE=")</f>
        <v>#REF!</v>
      </c>
      <c r="AI61" t="e">
        <f>AND(#REF!,"AAAAAG/9jSI=")</f>
        <v>#REF!</v>
      </c>
      <c r="AJ61" t="e">
        <f>AND(#REF!,"AAAAAG/9jSM=")</f>
        <v>#REF!</v>
      </c>
      <c r="AK61" t="e">
        <f>AND(#REF!,"AAAAAG/9jSQ=")</f>
        <v>#REF!</v>
      </c>
      <c r="AL61" t="e">
        <f>AND(#REF!,"AAAAAG/9jSU=")</f>
        <v>#REF!</v>
      </c>
      <c r="AM61" t="e">
        <f>AND(#REF!,"AAAAAG/9jSY=")</f>
        <v>#REF!</v>
      </c>
      <c r="AN61" t="e">
        <f>AND(#REF!,"AAAAAG/9jSc=")</f>
        <v>#REF!</v>
      </c>
      <c r="AO61" t="e">
        <f>IF(#REF!,"AAAAAG/9jSg=",0)</f>
        <v>#REF!</v>
      </c>
      <c r="AP61" t="e">
        <f>AND(#REF!,"AAAAAG/9jSk=")</f>
        <v>#REF!</v>
      </c>
      <c r="AQ61" t="e">
        <f>AND(#REF!,"AAAAAG/9jSo=")</f>
        <v>#REF!</v>
      </c>
      <c r="AR61" t="e">
        <f>AND(#REF!,"AAAAAG/9jSs=")</f>
        <v>#REF!</v>
      </c>
      <c r="AS61" t="e">
        <f>AND(#REF!,"AAAAAG/9jSw=")</f>
        <v>#REF!</v>
      </c>
      <c r="AT61" t="e">
        <f>AND(#REF!,"AAAAAG/9jS0=")</f>
        <v>#REF!</v>
      </c>
      <c r="AU61" t="e">
        <f>AND(#REF!,"AAAAAG/9jS4=")</f>
        <v>#REF!</v>
      </c>
      <c r="AV61" t="e">
        <f>AND(#REF!,"AAAAAG/9jS8=")</f>
        <v>#REF!</v>
      </c>
      <c r="AW61" t="e">
        <f>AND(#REF!,"AAAAAG/9jTA=")</f>
        <v>#REF!</v>
      </c>
      <c r="AX61" t="e">
        <f>AND(#REF!,"AAAAAG/9jTE=")</f>
        <v>#REF!</v>
      </c>
      <c r="AY61" t="e">
        <f>AND(#REF!,"AAAAAG/9jTI=")</f>
        <v>#REF!</v>
      </c>
      <c r="AZ61" t="e">
        <f>AND(#REF!,"AAAAAG/9jTM=")</f>
        <v>#REF!</v>
      </c>
      <c r="BA61" t="e">
        <f>AND(#REF!,"AAAAAG/9jTQ=")</f>
        <v>#REF!</v>
      </c>
      <c r="BB61" t="e">
        <f>AND(#REF!,"AAAAAG/9jTU=")</f>
        <v>#REF!</v>
      </c>
      <c r="BC61" t="e">
        <f>AND(#REF!,"AAAAAG/9jTY=")</f>
        <v>#REF!</v>
      </c>
      <c r="BD61" t="e">
        <f>AND(#REF!,"AAAAAG/9jTc=")</f>
        <v>#REF!</v>
      </c>
      <c r="BE61" t="e">
        <f>AND(#REF!,"AAAAAG/9jTg=")</f>
        <v>#REF!</v>
      </c>
      <c r="BF61" t="e">
        <f>IF(#REF!,"AAAAAG/9jTk=",0)</f>
        <v>#REF!</v>
      </c>
      <c r="BG61" t="e">
        <f>AND(#REF!,"AAAAAG/9jTo=")</f>
        <v>#REF!</v>
      </c>
      <c r="BH61" t="e">
        <f>AND(#REF!,"AAAAAG/9jTs=")</f>
        <v>#REF!</v>
      </c>
      <c r="BI61" t="e">
        <f>AND(#REF!,"AAAAAG/9jTw=")</f>
        <v>#REF!</v>
      </c>
      <c r="BJ61" t="e">
        <f>AND(#REF!,"AAAAAG/9jT0=")</f>
        <v>#REF!</v>
      </c>
      <c r="BK61" t="e">
        <f>AND(#REF!,"AAAAAG/9jT4=")</f>
        <v>#REF!</v>
      </c>
      <c r="BL61" t="e">
        <f>AND(#REF!,"AAAAAG/9jT8=")</f>
        <v>#REF!</v>
      </c>
      <c r="BM61" t="e">
        <f>AND(#REF!,"AAAAAG/9jUA=")</f>
        <v>#REF!</v>
      </c>
      <c r="BN61" t="e">
        <f>AND(#REF!,"AAAAAG/9jUE=")</f>
        <v>#REF!</v>
      </c>
      <c r="BO61" t="e">
        <f>AND(#REF!,"AAAAAG/9jUI=")</f>
        <v>#REF!</v>
      </c>
      <c r="BP61" t="e">
        <f>AND(#REF!,"AAAAAG/9jUM=")</f>
        <v>#REF!</v>
      </c>
      <c r="BQ61" t="e">
        <f>AND(#REF!,"AAAAAG/9jUQ=")</f>
        <v>#REF!</v>
      </c>
      <c r="BR61" t="e">
        <f>AND(#REF!,"AAAAAG/9jUU=")</f>
        <v>#REF!</v>
      </c>
      <c r="BS61" t="e">
        <f>AND(#REF!,"AAAAAG/9jUY=")</f>
        <v>#REF!</v>
      </c>
      <c r="BT61" t="e">
        <f>AND(#REF!,"AAAAAG/9jUc=")</f>
        <v>#REF!</v>
      </c>
      <c r="BU61" t="e">
        <f>AND(#REF!,"AAAAAG/9jUg=")</f>
        <v>#REF!</v>
      </c>
      <c r="BV61" t="e">
        <f>AND(#REF!,"AAAAAG/9jUk=")</f>
        <v>#REF!</v>
      </c>
      <c r="BW61" t="e">
        <f>IF(#REF!,"AAAAAG/9jUo=",0)</f>
        <v>#REF!</v>
      </c>
      <c r="BX61" t="e">
        <f>AND(#REF!,"AAAAAG/9jUs=")</f>
        <v>#REF!</v>
      </c>
      <c r="BY61" t="e">
        <f>AND(#REF!,"AAAAAG/9jUw=")</f>
        <v>#REF!</v>
      </c>
      <c r="BZ61" t="e">
        <f>AND(#REF!,"AAAAAG/9jU0=")</f>
        <v>#REF!</v>
      </c>
      <c r="CA61" t="e">
        <f>AND(#REF!,"AAAAAG/9jU4=")</f>
        <v>#REF!</v>
      </c>
      <c r="CB61" t="e">
        <f>AND(#REF!,"AAAAAG/9jU8=")</f>
        <v>#REF!</v>
      </c>
      <c r="CC61" t="e">
        <f>AND(#REF!,"AAAAAG/9jVA=")</f>
        <v>#REF!</v>
      </c>
      <c r="CD61" t="e">
        <f>AND(#REF!,"AAAAAG/9jVE=")</f>
        <v>#REF!</v>
      </c>
      <c r="CE61" t="e">
        <f>AND(#REF!,"AAAAAG/9jVI=")</f>
        <v>#REF!</v>
      </c>
      <c r="CF61" t="e">
        <f>AND(#REF!,"AAAAAG/9jVM=")</f>
        <v>#REF!</v>
      </c>
      <c r="CG61" t="e">
        <f>AND(#REF!,"AAAAAG/9jVQ=")</f>
        <v>#REF!</v>
      </c>
      <c r="CH61" t="e">
        <f>AND(#REF!,"AAAAAG/9jVU=")</f>
        <v>#REF!</v>
      </c>
      <c r="CI61" t="e">
        <f>AND(#REF!,"AAAAAG/9jVY=")</f>
        <v>#REF!</v>
      </c>
      <c r="CJ61" t="e">
        <f>AND(#REF!,"AAAAAG/9jVc=")</f>
        <v>#REF!</v>
      </c>
      <c r="CK61" t="e">
        <f>AND(#REF!,"AAAAAG/9jVg=")</f>
        <v>#REF!</v>
      </c>
      <c r="CL61" t="e">
        <f>AND(#REF!,"AAAAAG/9jVk=")</f>
        <v>#REF!</v>
      </c>
      <c r="CM61" t="e">
        <f>AND(#REF!,"AAAAAG/9jVo=")</f>
        <v>#REF!</v>
      </c>
      <c r="CN61" t="e">
        <f>IF(#REF!,"AAAAAG/9jVs=",0)</f>
        <v>#REF!</v>
      </c>
      <c r="CO61" t="e">
        <f>AND(#REF!,"AAAAAG/9jVw=")</f>
        <v>#REF!</v>
      </c>
      <c r="CP61" t="e">
        <f>AND(#REF!,"AAAAAG/9jV0=")</f>
        <v>#REF!</v>
      </c>
      <c r="CQ61" t="e">
        <f>AND(#REF!,"AAAAAG/9jV4=")</f>
        <v>#REF!</v>
      </c>
      <c r="CR61" t="e">
        <f>AND(#REF!,"AAAAAG/9jV8=")</f>
        <v>#REF!</v>
      </c>
      <c r="CS61" t="e">
        <f>AND(#REF!,"AAAAAG/9jWA=")</f>
        <v>#REF!</v>
      </c>
      <c r="CT61" t="e">
        <f>AND(#REF!,"AAAAAG/9jWE=")</f>
        <v>#REF!</v>
      </c>
      <c r="CU61" t="e">
        <f>AND(#REF!,"AAAAAG/9jWI=")</f>
        <v>#REF!</v>
      </c>
      <c r="CV61" t="e">
        <f>AND(#REF!,"AAAAAG/9jWM=")</f>
        <v>#REF!</v>
      </c>
      <c r="CW61" t="e">
        <f>AND(#REF!,"AAAAAG/9jWQ=")</f>
        <v>#REF!</v>
      </c>
      <c r="CX61" t="e">
        <f>AND(#REF!,"AAAAAG/9jWU=")</f>
        <v>#REF!</v>
      </c>
      <c r="CY61" t="e">
        <f>AND(#REF!,"AAAAAG/9jWY=")</f>
        <v>#REF!</v>
      </c>
      <c r="CZ61" t="e">
        <f>AND(#REF!,"AAAAAG/9jWc=")</f>
        <v>#REF!</v>
      </c>
      <c r="DA61" t="e">
        <f>AND(#REF!,"AAAAAG/9jWg=")</f>
        <v>#REF!</v>
      </c>
      <c r="DB61" t="e">
        <f>AND(#REF!,"AAAAAG/9jWk=")</f>
        <v>#REF!</v>
      </c>
      <c r="DC61" t="e">
        <f>AND(#REF!,"AAAAAG/9jWo=")</f>
        <v>#REF!</v>
      </c>
      <c r="DD61" t="e">
        <f>AND(#REF!,"AAAAAG/9jWs=")</f>
        <v>#REF!</v>
      </c>
      <c r="DE61" t="e">
        <f>IF(#REF!,"AAAAAG/9jWw=",0)</f>
        <v>#REF!</v>
      </c>
      <c r="DF61" t="e">
        <f>AND(#REF!,"AAAAAG/9jW0=")</f>
        <v>#REF!</v>
      </c>
      <c r="DG61" t="e">
        <f>AND(#REF!,"AAAAAG/9jW4=")</f>
        <v>#REF!</v>
      </c>
      <c r="DH61" t="e">
        <f>AND(#REF!,"AAAAAG/9jW8=")</f>
        <v>#REF!</v>
      </c>
      <c r="DI61" t="e">
        <f>AND(#REF!,"AAAAAG/9jXA=")</f>
        <v>#REF!</v>
      </c>
      <c r="DJ61" t="e">
        <f>AND(#REF!,"AAAAAG/9jXE=")</f>
        <v>#REF!</v>
      </c>
      <c r="DK61" t="e">
        <f>AND(#REF!,"AAAAAG/9jXI=")</f>
        <v>#REF!</v>
      </c>
      <c r="DL61" t="e">
        <f>AND(#REF!,"AAAAAG/9jXM=")</f>
        <v>#REF!</v>
      </c>
      <c r="DM61" t="e">
        <f>AND(#REF!,"AAAAAG/9jXQ=")</f>
        <v>#REF!</v>
      </c>
      <c r="DN61" t="e">
        <f>AND(#REF!,"AAAAAG/9jXU=")</f>
        <v>#REF!</v>
      </c>
      <c r="DO61" t="e">
        <f>AND(#REF!,"AAAAAG/9jXY=")</f>
        <v>#REF!</v>
      </c>
      <c r="DP61" t="e">
        <f>AND(#REF!,"AAAAAG/9jXc=")</f>
        <v>#REF!</v>
      </c>
      <c r="DQ61" t="e">
        <f>AND(#REF!,"AAAAAG/9jXg=")</f>
        <v>#REF!</v>
      </c>
      <c r="DR61" t="e">
        <f>AND(#REF!,"AAAAAG/9jXk=")</f>
        <v>#REF!</v>
      </c>
      <c r="DS61" t="e">
        <f>AND(#REF!,"AAAAAG/9jXo=")</f>
        <v>#REF!</v>
      </c>
      <c r="DT61" t="e">
        <f>AND(#REF!,"AAAAAG/9jXs=")</f>
        <v>#REF!</v>
      </c>
      <c r="DU61" t="e">
        <f>AND(#REF!,"AAAAAG/9jXw=")</f>
        <v>#REF!</v>
      </c>
      <c r="DV61" t="e">
        <f>IF(#REF!,"AAAAAG/9jX0=",0)</f>
        <v>#REF!</v>
      </c>
      <c r="DW61" t="e">
        <f>AND(#REF!,"AAAAAG/9jX4=")</f>
        <v>#REF!</v>
      </c>
      <c r="DX61" t="e">
        <f>AND(#REF!,"AAAAAG/9jX8=")</f>
        <v>#REF!</v>
      </c>
      <c r="DY61" t="e">
        <f>AND(#REF!,"AAAAAG/9jYA=")</f>
        <v>#REF!</v>
      </c>
      <c r="DZ61" t="e">
        <f>AND(#REF!,"AAAAAG/9jYE=")</f>
        <v>#REF!</v>
      </c>
      <c r="EA61" t="e">
        <f>AND(#REF!,"AAAAAG/9jYI=")</f>
        <v>#REF!</v>
      </c>
      <c r="EB61" t="e">
        <f>AND(#REF!,"AAAAAG/9jYM=")</f>
        <v>#REF!</v>
      </c>
      <c r="EC61" t="e">
        <f>AND(#REF!,"AAAAAG/9jYQ=")</f>
        <v>#REF!</v>
      </c>
      <c r="ED61" t="e">
        <f>AND(#REF!,"AAAAAG/9jYU=")</f>
        <v>#REF!</v>
      </c>
      <c r="EE61" t="e">
        <f>AND(#REF!,"AAAAAG/9jYY=")</f>
        <v>#REF!</v>
      </c>
      <c r="EF61" t="e">
        <f>AND(#REF!,"AAAAAG/9jYc=")</f>
        <v>#REF!</v>
      </c>
      <c r="EG61" t="e">
        <f>AND(#REF!,"AAAAAG/9jYg=")</f>
        <v>#REF!</v>
      </c>
      <c r="EH61" t="e">
        <f>AND(#REF!,"AAAAAG/9jYk=")</f>
        <v>#REF!</v>
      </c>
      <c r="EI61" t="e">
        <f>AND(#REF!,"AAAAAG/9jYo=")</f>
        <v>#REF!</v>
      </c>
      <c r="EJ61" t="e">
        <f>AND(#REF!,"AAAAAG/9jYs=")</f>
        <v>#REF!</v>
      </c>
      <c r="EK61" t="e">
        <f>AND(#REF!,"AAAAAG/9jYw=")</f>
        <v>#REF!</v>
      </c>
      <c r="EL61" t="e">
        <f>AND(#REF!,"AAAAAG/9jY0=")</f>
        <v>#REF!</v>
      </c>
      <c r="EM61" t="e">
        <f>IF(#REF!,"AAAAAG/9jY4=",0)</f>
        <v>#REF!</v>
      </c>
      <c r="EN61" t="e">
        <f>AND(#REF!,"AAAAAG/9jY8=")</f>
        <v>#REF!</v>
      </c>
      <c r="EO61" t="e">
        <f>AND(#REF!,"AAAAAG/9jZA=")</f>
        <v>#REF!</v>
      </c>
      <c r="EP61" t="e">
        <f>AND(#REF!,"AAAAAG/9jZE=")</f>
        <v>#REF!</v>
      </c>
      <c r="EQ61" t="e">
        <f>AND(#REF!,"AAAAAG/9jZI=")</f>
        <v>#REF!</v>
      </c>
      <c r="ER61" t="e">
        <f>AND(#REF!,"AAAAAG/9jZM=")</f>
        <v>#REF!</v>
      </c>
      <c r="ES61" t="e">
        <f>AND(#REF!,"AAAAAG/9jZQ=")</f>
        <v>#REF!</v>
      </c>
      <c r="ET61" t="e">
        <f>AND(#REF!,"AAAAAG/9jZU=")</f>
        <v>#REF!</v>
      </c>
      <c r="EU61" t="e">
        <f>AND(#REF!,"AAAAAG/9jZY=")</f>
        <v>#REF!</v>
      </c>
      <c r="EV61" t="e">
        <f>AND(#REF!,"AAAAAG/9jZc=")</f>
        <v>#REF!</v>
      </c>
      <c r="EW61" t="e">
        <f>AND(#REF!,"AAAAAG/9jZg=")</f>
        <v>#REF!</v>
      </c>
      <c r="EX61" t="e">
        <f>AND(#REF!,"AAAAAG/9jZk=")</f>
        <v>#REF!</v>
      </c>
      <c r="EY61" t="e">
        <f>AND(#REF!,"AAAAAG/9jZo=")</f>
        <v>#REF!</v>
      </c>
      <c r="EZ61" t="e">
        <f>AND(#REF!,"AAAAAG/9jZs=")</f>
        <v>#REF!</v>
      </c>
      <c r="FA61" t="e">
        <f>AND(#REF!,"AAAAAG/9jZw=")</f>
        <v>#REF!</v>
      </c>
      <c r="FB61" t="e">
        <f>AND(#REF!,"AAAAAG/9jZ0=")</f>
        <v>#REF!</v>
      </c>
      <c r="FC61" t="e">
        <f>AND(#REF!,"AAAAAG/9jZ4=")</f>
        <v>#REF!</v>
      </c>
      <c r="FD61" t="e">
        <f>IF(#REF!,"AAAAAG/9jZ8=",0)</f>
        <v>#REF!</v>
      </c>
      <c r="FE61" t="e">
        <f>AND(#REF!,"AAAAAG/9jaA=")</f>
        <v>#REF!</v>
      </c>
      <c r="FF61" t="e">
        <f>AND(#REF!,"AAAAAG/9jaE=")</f>
        <v>#REF!</v>
      </c>
      <c r="FG61" t="e">
        <f>AND(#REF!,"AAAAAG/9jaI=")</f>
        <v>#REF!</v>
      </c>
      <c r="FH61" t="e">
        <f>AND(#REF!,"AAAAAG/9jaM=")</f>
        <v>#REF!</v>
      </c>
      <c r="FI61" t="e">
        <f>AND(#REF!,"AAAAAG/9jaQ=")</f>
        <v>#REF!</v>
      </c>
      <c r="FJ61" t="e">
        <f>AND(#REF!,"AAAAAG/9jaU=")</f>
        <v>#REF!</v>
      </c>
      <c r="FK61" t="e">
        <f>AND(#REF!,"AAAAAG/9jaY=")</f>
        <v>#REF!</v>
      </c>
      <c r="FL61" t="e">
        <f>AND(#REF!,"AAAAAG/9jac=")</f>
        <v>#REF!</v>
      </c>
      <c r="FM61" t="e">
        <f>AND(#REF!,"AAAAAG/9jag=")</f>
        <v>#REF!</v>
      </c>
      <c r="FN61" t="e">
        <f>AND(#REF!,"AAAAAG/9jak=")</f>
        <v>#REF!</v>
      </c>
      <c r="FO61" t="e">
        <f>AND(#REF!,"AAAAAG/9jao=")</f>
        <v>#REF!</v>
      </c>
      <c r="FP61" t="e">
        <f>AND(#REF!,"AAAAAG/9jas=")</f>
        <v>#REF!</v>
      </c>
      <c r="FQ61" t="e">
        <f>AND(#REF!,"AAAAAG/9jaw=")</f>
        <v>#REF!</v>
      </c>
      <c r="FR61" t="e">
        <f>AND(#REF!,"AAAAAG/9ja0=")</f>
        <v>#REF!</v>
      </c>
      <c r="FS61" t="e">
        <f>AND(#REF!,"AAAAAG/9ja4=")</f>
        <v>#REF!</v>
      </c>
      <c r="FT61" t="e">
        <f>AND(#REF!,"AAAAAG/9ja8=")</f>
        <v>#REF!</v>
      </c>
      <c r="FU61" t="e">
        <f>IF(#REF!,"AAAAAG/9jbA=",0)</f>
        <v>#REF!</v>
      </c>
      <c r="FV61" t="e">
        <f>AND(#REF!,"AAAAAG/9jbE=")</f>
        <v>#REF!</v>
      </c>
      <c r="FW61" t="e">
        <f>AND(#REF!,"AAAAAG/9jbI=")</f>
        <v>#REF!</v>
      </c>
      <c r="FX61" t="e">
        <f>AND(#REF!,"AAAAAG/9jbM=")</f>
        <v>#REF!</v>
      </c>
      <c r="FY61" t="e">
        <f>AND(#REF!,"AAAAAG/9jbQ=")</f>
        <v>#REF!</v>
      </c>
      <c r="FZ61" t="e">
        <f>AND(#REF!,"AAAAAG/9jbU=")</f>
        <v>#REF!</v>
      </c>
      <c r="GA61" t="e">
        <f>AND(#REF!,"AAAAAG/9jbY=")</f>
        <v>#REF!</v>
      </c>
      <c r="GB61" t="e">
        <f>AND(#REF!,"AAAAAG/9jbc=")</f>
        <v>#REF!</v>
      </c>
      <c r="GC61" t="e">
        <f>AND(#REF!,"AAAAAG/9jbg=")</f>
        <v>#REF!</v>
      </c>
      <c r="GD61" t="e">
        <f>AND(#REF!,"AAAAAG/9jbk=")</f>
        <v>#REF!</v>
      </c>
      <c r="GE61" t="e">
        <f>AND(#REF!,"AAAAAG/9jbo=")</f>
        <v>#REF!</v>
      </c>
      <c r="GF61" t="e">
        <f>AND(#REF!,"AAAAAG/9jbs=")</f>
        <v>#REF!</v>
      </c>
      <c r="GG61" t="e">
        <f>AND(#REF!,"AAAAAG/9jbw=")</f>
        <v>#REF!</v>
      </c>
      <c r="GH61" t="e">
        <f>AND(#REF!,"AAAAAG/9jb0=")</f>
        <v>#REF!</v>
      </c>
      <c r="GI61" t="e">
        <f>AND(#REF!,"AAAAAG/9jb4=")</f>
        <v>#REF!</v>
      </c>
      <c r="GJ61" t="e">
        <f>AND(#REF!,"AAAAAG/9jb8=")</f>
        <v>#REF!</v>
      </c>
      <c r="GK61" t="e">
        <f>AND(#REF!,"AAAAAG/9jcA=")</f>
        <v>#REF!</v>
      </c>
      <c r="GL61" t="e">
        <f>IF(#REF!,"AAAAAG/9jcE=",0)</f>
        <v>#REF!</v>
      </c>
      <c r="GM61" t="e">
        <f>AND(#REF!,"AAAAAG/9jcI=")</f>
        <v>#REF!</v>
      </c>
      <c r="GN61" t="e">
        <f>AND(#REF!,"AAAAAG/9jcM=")</f>
        <v>#REF!</v>
      </c>
      <c r="GO61" t="e">
        <f>AND(#REF!,"AAAAAG/9jcQ=")</f>
        <v>#REF!</v>
      </c>
      <c r="GP61" t="e">
        <f>AND(#REF!,"AAAAAG/9jcU=")</f>
        <v>#REF!</v>
      </c>
      <c r="GQ61" t="e">
        <f>AND(#REF!,"AAAAAG/9jcY=")</f>
        <v>#REF!</v>
      </c>
      <c r="GR61" t="e">
        <f>AND(#REF!,"AAAAAG/9jcc=")</f>
        <v>#REF!</v>
      </c>
      <c r="GS61" t="e">
        <f>AND(#REF!,"AAAAAG/9jcg=")</f>
        <v>#REF!</v>
      </c>
      <c r="GT61" t="e">
        <f>AND(#REF!,"AAAAAG/9jck=")</f>
        <v>#REF!</v>
      </c>
      <c r="GU61" t="e">
        <f>AND(#REF!,"AAAAAG/9jco=")</f>
        <v>#REF!</v>
      </c>
      <c r="GV61" t="e">
        <f>AND(#REF!,"AAAAAG/9jcs=")</f>
        <v>#REF!</v>
      </c>
      <c r="GW61" t="e">
        <f>AND(#REF!,"AAAAAG/9jcw=")</f>
        <v>#REF!</v>
      </c>
      <c r="GX61" t="e">
        <f>AND(#REF!,"AAAAAG/9jc0=")</f>
        <v>#REF!</v>
      </c>
      <c r="GY61" t="e">
        <f>AND(#REF!,"AAAAAG/9jc4=")</f>
        <v>#REF!</v>
      </c>
      <c r="GZ61" t="e">
        <f>AND(#REF!,"AAAAAG/9jc8=")</f>
        <v>#REF!</v>
      </c>
      <c r="HA61" t="e">
        <f>AND(#REF!,"AAAAAG/9jdA=")</f>
        <v>#REF!</v>
      </c>
      <c r="HB61" t="e">
        <f>AND(#REF!,"AAAAAG/9jdE=")</f>
        <v>#REF!</v>
      </c>
      <c r="HC61" t="e">
        <f>IF(#REF!,"AAAAAG/9jdI=",0)</f>
        <v>#REF!</v>
      </c>
      <c r="HD61" t="e">
        <f>AND(#REF!,"AAAAAG/9jdM=")</f>
        <v>#REF!</v>
      </c>
      <c r="HE61" t="e">
        <f>AND(#REF!,"AAAAAG/9jdQ=")</f>
        <v>#REF!</v>
      </c>
      <c r="HF61" t="e">
        <f>AND(#REF!,"AAAAAG/9jdU=")</f>
        <v>#REF!</v>
      </c>
      <c r="HG61" t="e">
        <f>AND(#REF!,"AAAAAG/9jdY=")</f>
        <v>#REF!</v>
      </c>
      <c r="HH61" t="e">
        <f>AND(#REF!,"AAAAAG/9jdc=")</f>
        <v>#REF!</v>
      </c>
      <c r="HI61" t="e">
        <f>AND(#REF!,"AAAAAG/9jdg=")</f>
        <v>#REF!</v>
      </c>
      <c r="HJ61" t="e">
        <f>AND(#REF!,"AAAAAG/9jdk=")</f>
        <v>#REF!</v>
      </c>
      <c r="HK61" t="e">
        <f>AND(#REF!,"AAAAAG/9jdo=")</f>
        <v>#REF!</v>
      </c>
      <c r="HL61" t="e">
        <f>AND(#REF!,"AAAAAG/9jds=")</f>
        <v>#REF!</v>
      </c>
      <c r="HM61" t="e">
        <f>AND(#REF!,"AAAAAG/9jdw=")</f>
        <v>#REF!</v>
      </c>
      <c r="HN61" t="e">
        <f>AND(#REF!,"AAAAAG/9jd0=")</f>
        <v>#REF!</v>
      </c>
      <c r="HO61" t="e">
        <f>AND(#REF!,"AAAAAG/9jd4=")</f>
        <v>#REF!</v>
      </c>
      <c r="HP61" t="e">
        <f>AND(#REF!,"AAAAAG/9jd8=")</f>
        <v>#REF!</v>
      </c>
      <c r="HQ61" t="e">
        <f>AND(#REF!,"AAAAAG/9jeA=")</f>
        <v>#REF!</v>
      </c>
      <c r="HR61" t="e">
        <f>AND(#REF!,"AAAAAG/9jeE=")</f>
        <v>#REF!</v>
      </c>
      <c r="HS61" t="e">
        <f>AND(#REF!,"AAAAAG/9jeI=")</f>
        <v>#REF!</v>
      </c>
      <c r="HT61" t="e">
        <f>IF(#REF!,"AAAAAG/9jeM=",0)</f>
        <v>#REF!</v>
      </c>
      <c r="HU61" t="e">
        <f>AND(#REF!,"AAAAAG/9jeQ=")</f>
        <v>#REF!</v>
      </c>
      <c r="HV61" t="e">
        <f>AND(#REF!,"AAAAAG/9jeU=")</f>
        <v>#REF!</v>
      </c>
      <c r="HW61" t="e">
        <f>AND(#REF!,"AAAAAG/9jeY=")</f>
        <v>#REF!</v>
      </c>
      <c r="HX61" t="e">
        <f>AND(#REF!,"AAAAAG/9jec=")</f>
        <v>#REF!</v>
      </c>
      <c r="HY61" t="e">
        <f>AND(#REF!,"AAAAAG/9jeg=")</f>
        <v>#REF!</v>
      </c>
      <c r="HZ61" t="e">
        <f>AND(#REF!,"AAAAAG/9jek=")</f>
        <v>#REF!</v>
      </c>
      <c r="IA61" t="e">
        <f>AND(#REF!,"AAAAAG/9jeo=")</f>
        <v>#REF!</v>
      </c>
      <c r="IB61" t="e">
        <f>AND(#REF!,"AAAAAG/9jes=")</f>
        <v>#REF!</v>
      </c>
      <c r="IC61" t="e">
        <f>AND(#REF!,"AAAAAG/9jew=")</f>
        <v>#REF!</v>
      </c>
      <c r="ID61" t="e">
        <f>AND(#REF!,"AAAAAG/9je0=")</f>
        <v>#REF!</v>
      </c>
      <c r="IE61" t="e">
        <f>AND(#REF!,"AAAAAG/9je4=")</f>
        <v>#REF!</v>
      </c>
      <c r="IF61" t="e">
        <f>AND(#REF!,"AAAAAG/9je8=")</f>
        <v>#REF!</v>
      </c>
      <c r="IG61" t="e">
        <f>AND(#REF!,"AAAAAG/9jfA=")</f>
        <v>#REF!</v>
      </c>
      <c r="IH61" t="e">
        <f>AND(#REF!,"AAAAAG/9jfE=")</f>
        <v>#REF!</v>
      </c>
      <c r="II61" t="e">
        <f>AND(#REF!,"AAAAAG/9jfI=")</f>
        <v>#REF!</v>
      </c>
      <c r="IJ61" t="e">
        <f>AND(#REF!,"AAAAAG/9jfM=")</f>
        <v>#REF!</v>
      </c>
      <c r="IK61" t="e">
        <f>IF(#REF!,"AAAAAG/9jfQ=",0)</f>
        <v>#REF!</v>
      </c>
      <c r="IL61" t="e">
        <f>AND(#REF!,"AAAAAG/9jfU=")</f>
        <v>#REF!</v>
      </c>
      <c r="IM61" t="e">
        <f>AND(#REF!,"AAAAAG/9jfY=")</f>
        <v>#REF!</v>
      </c>
      <c r="IN61" t="e">
        <f>AND(#REF!,"AAAAAG/9jfc=")</f>
        <v>#REF!</v>
      </c>
      <c r="IO61" t="e">
        <f>AND(#REF!,"AAAAAG/9jfg=")</f>
        <v>#REF!</v>
      </c>
      <c r="IP61" t="e">
        <f>AND(#REF!,"AAAAAG/9jfk=")</f>
        <v>#REF!</v>
      </c>
      <c r="IQ61" t="e">
        <f>AND(#REF!,"AAAAAG/9jfo=")</f>
        <v>#REF!</v>
      </c>
      <c r="IR61" t="e">
        <f>AND(#REF!,"AAAAAG/9jfs=")</f>
        <v>#REF!</v>
      </c>
      <c r="IS61" t="e">
        <f>AND(#REF!,"AAAAAG/9jfw=")</f>
        <v>#REF!</v>
      </c>
      <c r="IT61" t="e">
        <f>AND(#REF!,"AAAAAG/9jf0=")</f>
        <v>#REF!</v>
      </c>
      <c r="IU61" t="e">
        <f>AND(#REF!,"AAAAAG/9jf4=")</f>
        <v>#REF!</v>
      </c>
      <c r="IV61" t="e">
        <f>AND(#REF!,"AAAAAG/9jf8=")</f>
        <v>#REF!</v>
      </c>
    </row>
    <row r="62" spans="1:256" x14ac:dyDescent="0.25">
      <c r="A62" t="e">
        <f>AND(#REF!,"AAAAAH5m7wA=")</f>
        <v>#REF!</v>
      </c>
      <c r="B62" t="e">
        <f>AND(#REF!,"AAAAAH5m7wE=")</f>
        <v>#REF!</v>
      </c>
      <c r="C62" t="e">
        <f>AND(#REF!,"AAAAAH5m7wI=")</f>
        <v>#REF!</v>
      </c>
      <c r="D62" t="e">
        <f>AND(#REF!,"AAAAAH5m7wM=")</f>
        <v>#REF!</v>
      </c>
      <c r="E62" t="e">
        <f>AND(#REF!,"AAAAAH5m7wQ=")</f>
        <v>#REF!</v>
      </c>
      <c r="F62" t="e">
        <f>IF(#REF!,"AAAAAH5m7wU=",0)</f>
        <v>#REF!</v>
      </c>
      <c r="G62" t="e">
        <f>AND(#REF!,"AAAAAH5m7wY=")</f>
        <v>#REF!</v>
      </c>
      <c r="H62" t="e">
        <f>AND(#REF!,"AAAAAH5m7wc=")</f>
        <v>#REF!</v>
      </c>
      <c r="I62" t="e">
        <f>AND(#REF!,"AAAAAH5m7wg=")</f>
        <v>#REF!</v>
      </c>
      <c r="J62" t="e">
        <f>AND(#REF!,"AAAAAH5m7wk=")</f>
        <v>#REF!</v>
      </c>
      <c r="K62" t="e">
        <f>AND(#REF!,"AAAAAH5m7wo=")</f>
        <v>#REF!</v>
      </c>
      <c r="L62" t="e">
        <f>AND(#REF!,"AAAAAH5m7ws=")</f>
        <v>#REF!</v>
      </c>
      <c r="M62" t="e">
        <f>AND(#REF!,"AAAAAH5m7ww=")</f>
        <v>#REF!</v>
      </c>
      <c r="N62" t="e">
        <f>AND(#REF!,"AAAAAH5m7w0=")</f>
        <v>#REF!</v>
      </c>
      <c r="O62" t="e">
        <f>AND(#REF!,"AAAAAH5m7w4=")</f>
        <v>#REF!</v>
      </c>
      <c r="P62" t="e">
        <f>AND(#REF!,"AAAAAH5m7w8=")</f>
        <v>#REF!</v>
      </c>
      <c r="Q62" t="e">
        <f>AND(#REF!,"AAAAAH5m7xA=")</f>
        <v>#REF!</v>
      </c>
      <c r="R62" t="e">
        <f>AND(#REF!,"AAAAAH5m7xE=")</f>
        <v>#REF!</v>
      </c>
      <c r="S62" t="e">
        <f>AND(#REF!,"AAAAAH5m7xI=")</f>
        <v>#REF!</v>
      </c>
      <c r="T62" t="e">
        <f>AND(#REF!,"AAAAAH5m7xM=")</f>
        <v>#REF!</v>
      </c>
      <c r="U62" t="e">
        <f>AND(#REF!,"AAAAAH5m7xQ=")</f>
        <v>#REF!</v>
      </c>
      <c r="V62" t="e">
        <f>AND(#REF!,"AAAAAH5m7xU=")</f>
        <v>#REF!</v>
      </c>
      <c r="W62" t="e">
        <f>IF(#REF!,"AAAAAH5m7xY=",0)</f>
        <v>#REF!</v>
      </c>
      <c r="X62" t="e">
        <f>AND(#REF!,"AAAAAH5m7xc=")</f>
        <v>#REF!</v>
      </c>
      <c r="Y62" t="e">
        <f>AND(#REF!,"AAAAAH5m7xg=")</f>
        <v>#REF!</v>
      </c>
      <c r="Z62" t="e">
        <f>AND(#REF!,"AAAAAH5m7xk=")</f>
        <v>#REF!</v>
      </c>
      <c r="AA62" t="e">
        <f>AND(#REF!,"AAAAAH5m7xo=")</f>
        <v>#REF!</v>
      </c>
      <c r="AB62" t="e">
        <f>AND(#REF!,"AAAAAH5m7xs=")</f>
        <v>#REF!</v>
      </c>
      <c r="AC62" t="e">
        <f>AND(#REF!,"AAAAAH5m7xw=")</f>
        <v>#REF!</v>
      </c>
      <c r="AD62" t="e">
        <f>AND(#REF!,"AAAAAH5m7x0=")</f>
        <v>#REF!</v>
      </c>
      <c r="AE62" t="e">
        <f>AND(#REF!,"AAAAAH5m7x4=")</f>
        <v>#REF!</v>
      </c>
      <c r="AF62" t="e">
        <f>AND(#REF!,"AAAAAH5m7x8=")</f>
        <v>#REF!</v>
      </c>
      <c r="AG62" t="e">
        <f>AND(#REF!,"AAAAAH5m7yA=")</f>
        <v>#REF!</v>
      </c>
      <c r="AH62" t="e">
        <f>AND(#REF!,"AAAAAH5m7yE=")</f>
        <v>#REF!</v>
      </c>
      <c r="AI62" t="e">
        <f>AND(#REF!,"AAAAAH5m7yI=")</f>
        <v>#REF!</v>
      </c>
      <c r="AJ62" t="e">
        <f>AND(#REF!,"AAAAAH5m7yM=")</f>
        <v>#REF!</v>
      </c>
      <c r="AK62" t="e">
        <f>AND(#REF!,"AAAAAH5m7yQ=")</f>
        <v>#REF!</v>
      </c>
      <c r="AL62" t="e">
        <f>AND(#REF!,"AAAAAH5m7yU=")</f>
        <v>#REF!</v>
      </c>
      <c r="AM62" t="e">
        <f>AND(#REF!,"AAAAAH5m7yY=")</f>
        <v>#REF!</v>
      </c>
      <c r="AN62" t="e">
        <f>IF(#REF!,"AAAAAH5m7yc=",0)</f>
        <v>#REF!</v>
      </c>
      <c r="AO62" t="e">
        <f>AND(#REF!,"AAAAAH5m7yg=")</f>
        <v>#REF!</v>
      </c>
      <c r="AP62" t="e">
        <f>AND(#REF!,"AAAAAH5m7yk=")</f>
        <v>#REF!</v>
      </c>
      <c r="AQ62" t="e">
        <f>AND(#REF!,"AAAAAH5m7yo=")</f>
        <v>#REF!</v>
      </c>
      <c r="AR62" t="e">
        <f>AND(#REF!,"AAAAAH5m7ys=")</f>
        <v>#REF!</v>
      </c>
      <c r="AS62" t="e">
        <f>AND(#REF!,"AAAAAH5m7yw=")</f>
        <v>#REF!</v>
      </c>
      <c r="AT62" t="e">
        <f>AND(#REF!,"AAAAAH5m7y0=")</f>
        <v>#REF!</v>
      </c>
      <c r="AU62" t="e">
        <f>AND(#REF!,"AAAAAH5m7y4=")</f>
        <v>#REF!</v>
      </c>
      <c r="AV62" t="e">
        <f>AND(#REF!,"AAAAAH5m7y8=")</f>
        <v>#REF!</v>
      </c>
      <c r="AW62" t="e">
        <f>AND(#REF!,"AAAAAH5m7zA=")</f>
        <v>#REF!</v>
      </c>
      <c r="AX62" t="e">
        <f>AND(#REF!,"AAAAAH5m7zE=")</f>
        <v>#REF!</v>
      </c>
      <c r="AY62" t="e">
        <f>AND(#REF!,"AAAAAH5m7zI=")</f>
        <v>#REF!</v>
      </c>
      <c r="AZ62" t="e">
        <f>AND(#REF!,"AAAAAH5m7zM=")</f>
        <v>#REF!</v>
      </c>
      <c r="BA62" t="e">
        <f>AND(#REF!,"AAAAAH5m7zQ=")</f>
        <v>#REF!</v>
      </c>
      <c r="BB62" t="e">
        <f>AND(#REF!,"AAAAAH5m7zU=")</f>
        <v>#REF!</v>
      </c>
      <c r="BC62" t="e">
        <f>AND(#REF!,"AAAAAH5m7zY=")</f>
        <v>#REF!</v>
      </c>
      <c r="BD62" t="e">
        <f>AND(#REF!,"AAAAAH5m7zc=")</f>
        <v>#REF!</v>
      </c>
      <c r="BE62" t="e">
        <f>IF(#REF!,"AAAAAH5m7zg=",0)</f>
        <v>#REF!</v>
      </c>
      <c r="BF62" t="e">
        <f>AND(#REF!,"AAAAAH5m7zk=")</f>
        <v>#REF!</v>
      </c>
      <c r="BG62" t="e">
        <f>AND(#REF!,"AAAAAH5m7zo=")</f>
        <v>#REF!</v>
      </c>
      <c r="BH62" t="e">
        <f>AND(#REF!,"AAAAAH5m7zs=")</f>
        <v>#REF!</v>
      </c>
      <c r="BI62" t="e">
        <f>AND(#REF!,"AAAAAH5m7zw=")</f>
        <v>#REF!</v>
      </c>
      <c r="BJ62" t="e">
        <f>AND(#REF!,"AAAAAH5m7z0=")</f>
        <v>#REF!</v>
      </c>
      <c r="BK62" t="e">
        <f>AND(#REF!,"AAAAAH5m7z4=")</f>
        <v>#REF!</v>
      </c>
      <c r="BL62" t="e">
        <f>AND(#REF!,"AAAAAH5m7z8=")</f>
        <v>#REF!</v>
      </c>
      <c r="BM62" t="e">
        <f>AND(#REF!,"AAAAAH5m70A=")</f>
        <v>#REF!</v>
      </c>
      <c r="BN62" t="e">
        <f>AND(#REF!,"AAAAAH5m70E=")</f>
        <v>#REF!</v>
      </c>
      <c r="BO62" t="e">
        <f>AND(#REF!,"AAAAAH5m70I=")</f>
        <v>#REF!</v>
      </c>
      <c r="BP62" t="e">
        <f>AND(#REF!,"AAAAAH5m70M=")</f>
        <v>#REF!</v>
      </c>
      <c r="BQ62" t="e">
        <f>AND(#REF!,"AAAAAH5m70Q=")</f>
        <v>#REF!</v>
      </c>
      <c r="BR62" t="e">
        <f>AND(#REF!,"AAAAAH5m70U=")</f>
        <v>#REF!</v>
      </c>
      <c r="BS62" t="e">
        <f>AND(#REF!,"AAAAAH5m70Y=")</f>
        <v>#REF!</v>
      </c>
      <c r="BT62" t="e">
        <f>AND(#REF!,"AAAAAH5m70c=")</f>
        <v>#REF!</v>
      </c>
      <c r="BU62" t="e">
        <f>AND(#REF!,"AAAAAH5m70g=")</f>
        <v>#REF!</v>
      </c>
      <c r="BV62" t="e">
        <f>IF(#REF!,"AAAAAH5m70k=",0)</f>
        <v>#REF!</v>
      </c>
      <c r="BW62" t="e">
        <f>AND(#REF!,"AAAAAH5m70o=")</f>
        <v>#REF!</v>
      </c>
      <c r="BX62" t="e">
        <f>AND(#REF!,"AAAAAH5m70s=")</f>
        <v>#REF!</v>
      </c>
      <c r="BY62" t="e">
        <f>AND(#REF!,"AAAAAH5m70w=")</f>
        <v>#REF!</v>
      </c>
      <c r="BZ62" t="e">
        <f>AND(#REF!,"AAAAAH5m700=")</f>
        <v>#REF!</v>
      </c>
      <c r="CA62" t="e">
        <f>AND(#REF!,"AAAAAH5m704=")</f>
        <v>#REF!</v>
      </c>
      <c r="CB62" t="e">
        <f>AND(#REF!,"AAAAAH5m708=")</f>
        <v>#REF!</v>
      </c>
      <c r="CC62" t="e">
        <f>AND(#REF!,"AAAAAH5m71A=")</f>
        <v>#REF!</v>
      </c>
      <c r="CD62" t="e">
        <f>AND(#REF!,"AAAAAH5m71E=")</f>
        <v>#REF!</v>
      </c>
      <c r="CE62" t="e">
        <f>AND(#REF!,"AAAAAH5m71I=")</f>
        <v>#REF!</v>
      </c>
      <c r="CF62" t="e">
        <f>AND(#REF!,"AAAAAH5m71M=")</f>
        <v>#REF!</v>
      </c>
      <c r="CG62" t="e">
        <f>AND(#REF!,"AAAAAH5m71Q=")</f>
        <v>#REF!</v>
      </c>
      <c r="CH62" t="e">
        <f>AND(#REF!,"AAAAAH5m71U=")</f>
        <v>#REF!</v>
      </c>
      <c r="CI62" t="e">
        <f>AND(#REF!,"AAAAAH5m71Y=")</f>
        <v>#REF!</v>
      </c>
      <c r="CJ62" t="e">
        <f>AND(#REF!,"AAAAAH5m71c=")</f>
        <v>#REF!</v>
      </c>
      <c r="CK62" t="e">
        <f>AND(#REF!,"AAAAAH5m71g=")</f>
        <v>#REF!</v>
      </c>
      <c r="CL62" t="e">
        <f>AND(#REF!,"AAAAAH5m71k=")</f>
        <v>#REF!</v>
      </c>
      <c r="CM62" t="e">
        <f>IF(#REF!,"AAAAAH5m71o=",0)</f>
        <v>#REF!</v>
      </c>
      <c r="CN62" t="e">
        <f>AND(#REF!,"AAAAAH5m71s=")</f>
        <v>#REF!</v>
      </c>
      <c r="CO62" t="e">
        <f>AND(#REF!,"AAAAAH5m71w=")</f>
        <v>#REF!</v>
      </c>
      <c r="CP62" t="e">
        <f>AND(#REF!,"AAAAAH5m710=")</f>
        <v>#REF!</v>
      </c>
      <c r="CQ62" t="e">
        <f>AND(#REF!,"AAAAAH5m714=")</f>
        <v>#REF!</v>
      </c>
      <c r="CR62" t="e">
        <f>AND(#REF!,"AAAAAH5m718=")</f>
        <v>#REF!</v>
      </c>
      <c r="CS62" t="e">
        <f>AND(#REF!,"AAAAAH5m72A=")</f>
        <v>#REF!</v>
      </c>
      <c r="CT62" t="e">
        <f>AND(#REF!,"AAAAAH5m72E=")</f>
        <v>#REF!</v>
      </c>
      <c r="CU62" t="e">
        <f>AND(#REF!,"AAAAAH5m72I=")</f>
        <v>#REF!</v>
      </c>
      <c r="CV62" t="e">
        <f>AND(#REF!,"AAAAAH5m72M=")</f>
        <v>#REF!</v>
      </c>
      <c r="CW62" t="e">
        <f>AND(#REF!,"AAAAAH5m72Q=")</f>
        <v>#REF!</v>
      </c>
      <c r="CX62" t="e">
        <f>AND(#REF!,"AAAAAH5m72U=")</f>
        <v>#REF!</v>
      </c>
      <c r="CY62" t="e">
        <f>AND(#REF!,"AAAAAH5m72Y=")</f>
        <v>#REF!</v>
      </c>
      <c r="CZ62" t="e">
        <f>AND(#REF!,"AAAAAH5m72c=")</f>
        <v>#REF!</v>
      </c>
      <c r="DA62" t="e">
        <f>AND(#REF!,"AAAAAH5m72g=")</f>
        <v>#REF!</v>
      </c>
      <c r="DB62" t="e">
        <f>AND(#REF!,"AAAAAH5m72k=")</f>
        <v>#REF!</v>
      </c>
      <c r="DC62" t="e">
        <f>AND(#REF!,"AAAAAH5m72o=")</f>
        <v>#REF!</v>
      </c>
      <c r="DD62" t="e">
        <f>IF(#REF!,"AAAAAH5m72s=",0)</f>
        <v>#REF!</v>
      </c>
      <c r="DE62" t="e">
        <f>AND(#REF!,"AAAAAH5m72w=")</f>
        <v>#REF!</v>
      </c>
      <c r="DF62" t="e">
        <f>AND(#REF!,"AAAAAH5m720=")</f>
        <v>#REF!</v>
      </c>
      <c r="DG62" t="e">
        <f>AND(#REF!,"AAAAAH5m724=")</f>
        <v>#REF!</v>
      </c>
      <c r="DH62" t="e">
        <f>AND(#REF!,"AAAAAH5m728=")</f>
        <v>#REF!</v>
      </c>
      <c r="DI62" t="e">
        <f>AND(#REF!,"AAAAAH5m73A=")</f>
        <v>#REF!</v>
      </c>
      <c r="DJ62" t="e">
        <f>AND(#REF!,"AAAAAH5m73E=")</f>
        <v>#REF!</v>
      </c>
      <c r="DK62" t="e">
        <f>AND(#REF!,"AAAAAH5m73I=")</f>
        <v>#REF!</v>
      </c>
      <c r="DL62" t="e">
        <f>AND(#REF!,"AAAAAH5m73M=")</f>
        <v>#REF!</v>
      </c>
      <c r="DM62" t="e">
        <f>AND(#REF!,"AAAAAH5m73Q=")</f>
        <v>#REF!</v>
      </c>
      <c r="DN62" t="e">
        <f>AND(#REF!,"AAAAAH5m73U=")</f>
        <v>#REF!</v>
      </c>
      <c r="DO62" t="e">
        <f>AND(#REF!,"AAAAAH5m73Y=")</f>
        <v>#REF!</v>
      </c>
      <c r="DP62" t="e">
        <f>AND(#REF!,"AAAAAH5m73c=")</f>
        <v>#REF!</v>
      </c>
      <c r="DQ62" t="e">
        <f>AND(#REF!,"AAAAAH5m73g=")</f>
        <v>#REF!</v>
      </c>
      <c r="DR62" t="e">
        <f>AND(#REF!,"AAAAAH5m73k=")</f>
        <v>#REF!</v>
      </c>
      <c r="DS62" t="e">
        <f>AND(#REF!,"AAAAAH5m73o=")</f>
        <v>#REF!</v>
      </c>
      <c r="DT62" t="e">
        <f>AND(#REF!,"AAAAAH5m73s=")</f>
        <v>#REF!</v>
      </c>
      <c r="DU62" t="e">
        <f>IF(#REF!,"AAAAAH5m73w=",0)</f>
        <v>#REF!</v>
      </c>
      <c r="DV62" t="e">
        <f>AND(#REF!,"AAAAAH5m730=")</f>
        <v>#REF!</v>
      </c>
      <c r="DW62" t="e">
        <f>AND(#REF!,"AAAAAH5m734=")</f>
        <v>#REF!</v>
      </c>
      <c r="DX62" t="e">
        <f>AND(#REF!,"AAAAAH5m738=")</f>
        <v>#REF!</v>
      </c>
      <c r="DY62" t="e">
        <f>AND(#REF!,"AAAAAH5m74A=")</f>
        <v>#REF!</v>
      </c>
      <c r="DZ62" t="e">
        <f>AND(#REF!,"AAAAAH5m74E=")</f>
        <v>#REF!</v>
      </c>
      <c r="EA62" t="e">
        <f>AND(#REF!,"AAAAAH5m74I=")</f>
        <v>#REF!</v>
      </c>
      <c r="EB62" t="e">
        <f>AND(#REF!,"AAAAAH5m74M=")</f>
        <v>#REF!</v>
      </c>
      <c r="EC62" t="e">
        <f>AND(#REF!,"AAAAAH5m74Q=")</f>
        <v>#REF!</v>
      </c>
      <c r="ED62" t="e">
        <f>AND(#REF!,"AAAAAH5m74U=")</f>
        <v>#REF!</v>
      </c>
      <c r="EE62" t="e">
        <f>AND(#REF!,"AAAAAH5m74Y=")</f>
        <v>#REF!</v>
      </c>
      <c r="EF62" t="e">
        <f>AND(#REF!,"AAAAAH5m74c=")</f>
        <v>#REF!</v>
      </c>
      <c r="EG62" t="e">
        <f>AND(#REF!,"AAAAAH5m74g=")</f>
        <v>#REF!</v>
      </c>
      <c r="EH62" t="e">
        <f>AND(#REF!,"AAAAAH5m74k=")</f>
        <v>#REF!</v>
      </c>
      <c r="EI62" t="e">
        <f>AND(#REF!,"AAAAAH5m74o=")</f>
        <v>#REF!</v>
      </c>
      <c r="EJ62" t="e">
        <f>AND(#REF!,"AAAAAH5m74s=")</f>
        <v>#REF!</v>
      </c>
      <c r="EK62" t="e">
        <f>AND(#REF!,"AAAAAH5m74w=")</f>
        <v>#REF!</v>
      </c>
      <c r="EL62" t="e">
        <f>IF(#REF!,"AAAAAH5m740=",0)</f>
        <v>#REF!</v>
      </c>
      <c r="EM62" t="e">
        <f>AND(#REF!,"AAAAAH5m744=")</f>
        <v>#REF!</v>
      </c>
      <c r="EN62" t="e">
        <f>AND(#REF!,"AAAAAH5m748=")</f>
        <v>#REF!</v>
      </c>
      <c r="EO62" t="e">
        <f>AND(#REF!,"AAAAAH5m75A=")</f>
        <v>#REF!</v>
      </c>
      <c r="EP62" t="e">
        <f>AND(#REF!,"AAAAAH5m75E=")</f>
        <v>#REF!</v>
      </c>
      <c r="EQ62" t="e">
        <f>AND(#REF!,"AAAAAH5m75I=")</f>
        <v>#REF!</v>
      </c>
      <c r="ER62" t="e">
        <f>AND(#REF!,"AAAAAH5m75M=")</f>
        <v>#REF!</v>
      </c>
      <c r="ES62" t="e">
        <f>AND(#REF!,"AAAAAH5m75Q=")</f>
        <v>#REF!</v>
      </c>
      <c r="ET62" t="e">
        <f>AND(#REF!,"AAAAAH5m75U=")</f>
        <v>#REF!</v>
      </c>
      <c r="EU62" t="e">
        <f>AND(#REF!,"AAAAAH5m75Y=")</f>
        <v>#REF!</v>
      </c>
      <c r="EV62" t="e">
        <f>AND(#REF!,"AAAAAH5m75c=")</f>
        <v>#REF!</v>
      </c>
      <c r="EW62" t="e">
        <f>AND(#REF!,"AAAAAH5m75g=")</f>
        <v>#REF!</v>
      </c>
      <c r="EX62" t="e">
        <f>AND(#REF!,"AAAAAH5m75k=")</f>
        <v>#REF!</v>
      </c>
      <c r="EY62" t="e">
        <f>AND(#REF!,"AAAAAH5m75o=")</f>
        <v>#REF!</v>
      </c>
      <c r="EZ62" t="e">
        <f>AND(#REF!,"AAAAAH5m75s=")</f>
        <v>#REF!</v>
      </c>
      <c r="FA62" t="e">
        <f>AND(#REF!,"AAAAAH5m75w=")</f>
        <v>#REF!</v>
      </c>
      <c r="FB62" t="e">
        <f>AND(#REF!,"AAAAAH5m750=")</f>
        <v>#REF!</v>
      </c>
      <c r="FC62" t="e">
        <f>IF(#REF!,"AAAAAH5m754=",0)</f>
        <v>#REF!</v>
      </c>
      <c r="FD62" t="e">
        <f>AND(#REF!,"AAAAAH5m758=")</f>
        <v>#REF!</v>
      </c>
      <c r="FE62" t="e">
        <f>AND(#REF!,"AAAAAH5m76A=")</f>
        <v>#REF!</v>
      </c>
      <c r="FF62" t="e">
        <f>AND(#REF!,"AAAAAH5m76E=")</f>
        <v>#REF!</v>
      </c>
      <c r="FG62" t="e">
        <f>AND(#REF!,"AAAAAH5m76I=")</f>
        <v>#REF!</v>
      </c>
      <c r="FH62" t="e">
        <f>AND(#REF!,"AAAAAH5m76M=")</f>
        <v>#REF!</v>
      </c>
      <c r="FI62" t="e">
        <f>AND(#REF!,"AAAAAH5m76Q=")</f>
        <v>#REF!</v>
      </c>
      <c r="FJ62" t="e">
        <f>AND(#REF!,"AAAAAH5m76U=")</f>
        <v>#REF!</v>
      </c>
      <c r="FK62" t="e">
        <f>AND(#REF!,"AAAAAH5m76Y=")</f>
        <v>#REF!</v>
      </c>
      <c r="FL62" t="e">
        <f>AND(#REF!,"AAAAAH5m76c=")</f>
        <v>#REF!</v>
      </c>
      <c r="FM62" t="e">
        <f>AND(#REF!,"AAAAAH5m76g=")</f>
        <v>#REF!</v>
      </c>
      <c r="FN62" t="e">
        <f>AND(#REF!,"AAAAAH5m76k=")</f>
        <v>#REF!</v>
      </c>
      <c r="FO62" t="e">
        <f>AND(#REF!,"AAAAAH5m76o=")</f>
        <v>#REF!</v>
      </c>
      <c r="FP62" t="e">
        <f>AND(#REF!,"AAAAAH5m76s=")</f>
        <v>#REF!</v>
      </c>
      <c r="FQ62" t="e">
        <f>AND(#REF!,"AAAAAH5m76w=")</f>
        <v>#REF!</v>
      </c>
      <c r="FR62" t="e">
        <f>AND(#REF!,"AAAAAH5m760=")</f>
        <v>#REF!</v>
      </c>
      <c r="FS62" t="e">
        <f>AND(#REF!,"AAAAAH5m764=")</f>
        <v>#REF!</v>
      </c>
      <c r="FT62" t="e">
        <f>IF(#REF!,"AAAAAH5m768=",0)</f>
        <v>#REF!</v>
      </c>
      <c r="FU62" t="e">
        <f>AND(#REF!,"AAAAAH5m77A=")</f>
        <v>#REF!</v>
      </c>
      <c r="FV62" t="e">
        <f>AND(#REF!,"AAAAAH5m77E=")</f>
        <v>#REF!</v>
      </c>
      <c r="FW62" t="e">
        <f>AND(#REF!,"AAAAAH5m77I=")</f>
        <v>#REF!</v>
      </c>
      <c r="FX62" t="e">
        <f>AND(#REF!,"AAAAAH5m77M=")</f>
        <v>#REF!</v>
      </c>
      <c r="FY62" t="e">
        <f>AND(#REF!,"AAAAAH5m77Q=")</f>
        <v>#REF!</v>
      </c>
      <c r="FZ62" t="e">
        <f>AND(#REF!,"AAAAAH5m77U=")</f>
        <v>#REF!</v>
      </c>
      <c r="GA62" t="e">
        <f>AND(#REF!,"AAAAAH5m77Y=")</f>
        <v>#REF!</v>
      </c>
      <c r="GB62" t="e">
        <f>AND(#REF!,"AAAAAH5m77c=")</f>
        <v>#REF!</v>
      </c>
      <c r="GC62" t="e">
        <f>AND(#REF!,"AAAAAH5m77g=")</f>
        <v>#REF!</v>
      </c>
      <c r="GD62" t="e">
        <f>AND(#REF!,"AAAAAH5m77k=")</f>
        <v>#REF!</v>
      </c>
      <c r="GE62" t="e">
        <f>AND(#REF!,"AAAAAH5m77o=")</f>
        <v>#REF!</v>
      </c>
      <c r="GF62" t="e">
        <f>AND(#REF!,"AAAAAH5m77s=")</f>
        <v>#REF!</v>
      </c>
      <c r="GG62" t="e">
        <f>AND(#REF!,"AAAAAH5m77w=")</f>
        <v>#REF!</v>
      </c>
      <c r="GH62" t="e">
        <f>AND(#REF!,"AAAAAH5m770=")</f>
        <v>#REF!</v>
      </c>
      <c r="GI62" t="e">
        <f>AND(#REF!,"AAAAAH5m774=")</f>
        <v>#REF!</v>
      </c>
      <c r="GJ62" t="e">
        <f>AND(#REF!,"AAAAAH5m778=")</f>
        <v>#REF!</v>
      </c>
      <c r="GK62" t="e">
        <f>IF(#REF!,"AAAAAH5m78A=",0)</f>
        <v>#REF!</v>
      </c>
      <c r="GL62" t="e">
        <f>AND(#REF!,"AAAAAH5m78E=")</f>
        <v>#REF!</v>
      </c>
      <c r="GM62" t="e">
        <f>AND(#REF!,"AAAAAH5m78I=")</f>
        <v>#REF!</v>
      </c>
      <c r="GN62" t="e">
        <f>AND(#REF!,"AAAAAH5m78M=")</f>
        <v>#REF!</v>
      </c>
      <c r="GO62" t="e">
        <f>AND(#REF!,"AAAAAH5m78Q=")</f>
        <v>#REF!</v>
      </c>
      <c r="GP62" t="e">
        <f>AND(#REF!,"AAAAAH5m78U=")</f>
        <v>#REF!</v>
      </c>
      <c r="GQ62" t="e">
        <f>AND(#REF!,"AAAAAH5m78Y=")</f>
        <v>#REF!</v>
      </c>
      <c r="GR62" t="e">
        <f>AND(#REF!,"AAAAAH5m78c=")</f>
        <v>#REF!</v>
      </c>
      <c r="GS62" t="e">
        <f>AND(#REF!,"AAAAAH5m78g=")</f>
        <v>#REF!</v>
      </c>
      <c r="GT62" t="e">
        <f>AND(#REF!,"AAAAAH5m78k=")</f>
        <v>#REF!</v>
      </c>
      <c r="GU62" t="e">
        <f>AND(#REF!,"AAAAAH5m78o=")</f>
        <v>#REF!</v>
      </c>
      <c r="GV62" t="e">
        <f>AND(#REF!,"AAAAAH5m78s=")</f>
        <v>#REF!</v>
      </c>
      <c r="GW62" t="e">
        <f>AND(#REF!,"AAAAAH5m78w=")</f>
        <v>#REF!</v>
      </c>
      <c r="GX62" t="e">
        <f>AND(#REF!,"AAAAAH5m780=")</f>
        <v>#REF!</v>
      </c>
      <c r="GY62" t="e">
        <f>AND(#REF!,"AAAAAH5m784=")</f>
        <v>#REF!</v>
      </c>
      <c r="GZ62" t="e">
        <f>AND(#REF!,"AAAAAH5m788=")</f>
        <v>#REF!</v>
      </c>
      <c r="HA62" t="e">
        <f>AND(#REF!,"AAAAAH5m79A=")</f>
        <v>#REF!</v>
      </c>
      <c r="HB62" t="e">
        <f>IF(#REF!,"AAAAAH5m79E=",0)</f>
        <v>#REF!</v>
      </c>
      <c r="HC62" t="e">
        <f>AND(#REF!,"AAAAAH5m79I=")</f>
        <v>#REF!</v>
      </c>
      <c r="HD62" t="e">
        <f>AND(#REF!,"AAAAAH5m79M=")</f>
        <v>#REF!</v>
      </c>
      <c r="HE62" t="e">
        <f>AND(#REF!,"AAAAAH5m79Q=")</f>
        <v>#REF!</v>
      </c>
      <c r="HF62" t="e">
        <f>AND(#REF!,"AAAAAH5m79U=")</f>
        <v>#REF!</v>
      </c>
      <c r="HG62" t="e">
        <f>AND(#REF!,"AAAAAH5m79Y=")</f>
        <v>#REF!</v>
      </c>
      <c r="HH62" t="e">
        <f>AND(#REF!,"AAAAAH5m79c=")</f>
        <v>#REF!</v>
      </c>
      <c r="HI62" t="e">
        <f>AND(#REF!,"AAAAAH5m79g=")</f>
        <v>#REF!</v>
      </c>
      <c r="HJ62" t="e">
        <f>AND(#REF!,"AAAAAH5m79k=")</f>
        <v>#REF!</v>
      </c>
      <c r="HK62" t="e">
        <f>AND(#REF!,"AAAAAH5m79o=")</f>
        <v>#REF!</v>
      </c>
      <c r="HL62" t="e">
        <f>AND(#REF!,"AAAAAH5m79s=")</f>
        <v>#REF!</v>
      </c>
      <c r="HM62" t="e">
        <f>AND(#REF!,"AAAAAH5m79w=")</f>
        <v>#REF!</v>
      </c>
      <c r="HN62" t="e">
        <f>AND(#REF!,"AAAAAH5m790=")</f>
        <v>#REF!</v>
      </c>
      <c r="HO62" t="e">
        <f>AND(#REF!,"AAAAAH5m794=")</f>
        <v>#REF!</v>
      </c>
      <c r="HP62" t="e">
        <f>AND(#REF!,"AAAAAH5m798=")</f>
        <v>#REF!</v>
      </c>
      <c r="HQ62" t="e">
        <f>AND(#REF!,"AAAAAH5m7+A=")</f>
        <v>#REF!</v>
      </c>
      <c r="HR62" t="e">
        <f>AND(#REF!,"AAAAAH5m7+E=")</f>
        <v>#REF!</v>
      </c>
      <c r="HS62" t="e">
        <f>IF(#REF!,"AAAAAH5m7+I=",0)</f>
        <v>#REF!</v>
      </c>
      <c r="HT62" t="e">
        <f>AND(#REF!,"AAAAAH5m7+M=")</f>
        <v>#REF!</v>
      </c>
      <c r="HU62" t="e">
        <f>AND(#REF!,"AAAAAH5m7+Q=")</f>
        <v>#REF!</v>
      </c>
      <c r="HV62" t="e">
        <f>AND(#REF!,"AAAAAH5m7+U=")</f>
        <v>#REF!</v>
      </c>
      <c r="HW62" t="e">
        <f>AND(#REF!,"AAAAAH5m7+Y=")</f>
        <v>#REF!</v>
      </c>
      <c r="HX62" t="e">
        <f>AND(#REF!,"AAAAAH5m7+c=")</f>
        <v>#REF!</v>
      </c>
      <c r="HY62" t="e">
        <f>AND(#REF!,"AAAAAH5m7+g=")</f>
        <v>#REF!</v>
      </c>
      <c r="HZ62" t="e">
        <f>AND(#REF!,"AAAAAH5m7+k=")</f>
        <v>#REF!</v>
      </c>
      <c r="IA62" t="e">
        <f>AND(#REF!,"AAAAAH5m7+o=")</f>
        <v>#REF!</v>
      </c>
      <c r="IB62" t="e">
        <f>AND(#REF!,"AAAAAH5m7+s=")</f>
        <v>#REF!</v>
      </c>
      <c r="IC62" t="e">
        <f>AND(#REF!,"AAAAAH5m7+w=")</f>
        <v>#REF!</v>
      </c>
      <c r="ID62" t="e">
        <f>AND(#REF!,"AAAAAH5m7+0=")</f>
        <v>#REF!</v>
      </c>
      <c r="IE62" t="e">
        <f>AND(#REF!,"AAAAAH5m7+4=")</f>
        <v>#REF!</v>
      </c>
      <c r="IF62" t="e">
        <f>AND(#REF!,"AAAAAH5m7+8=")</f>
        <v>#REF!</v>
      </c>
      <c r="IG62" t="e">
        <f>AND(#REF!,"AAAAAH5m7/A=")</f>
        <v>#REF!</v>
      </c>
      <c r="IH62" t="e">
        <f>AND(#REF!,"AAAAAH5m7/E=")</f>
        <v>#REF!</v>
      </c>
      <c r="II62" t="e">
        <f>AND(#REF!,"AAAAAH5m7/I=")</f>
        <v>#REF!</v>
      </c>
      <c r="IJ62" t="e">
        <f>IF(#REF!,"AAAAAH5m7/M=",0)</f>
        <v>#REF!</v>
      </c>
      <c r="IK62" t="e">
        <f>AND(#REF!,"AAAAAH5m7/Q=")</f>
        <v>#REF!</v>
      </c>
      <c r="IL62" t="e">
        <f>AND(#REF!,"AAAAAH5m7/U=")</f>
        <v>#REF!</v>
      </c>
      <c r="IM62" t="e">
        <f>AND(#REF!,"AAAAAH5m7/Y=")</f>
        <v>#REF!</v>
      </c>
      <c r="IN62" t="e">
        <f>AND(#REF!,"AAAAAH5m7/c=")</f>
        <v>#REF!</v>
      </c>
      <c r="IO62" t="e">
        <f>AND(#REF!,"AAAAAH5m7/g=")</f>
        <v>#REF!</v>
      </c>
      <c r="IP62" t="e">
        <f>AND(#REF!,"AAAAAH5m7/k=")</f>
        <v>#REF!</v>
      </c>
      <c r="IQ62" t="e">
        <f>AND(#REF!,"AAAAAH5m7/o=")</f>
        <v>#REF!</v>
      </c>
      <c r="IR62" t="e">
        <f>AND(#REF!,"AAAAAH5m7/s=")</f>
        <v>#REF!</v>
      </c>
      <c r="IS62" t="e">
        <f>AND(#REF!,"AAAAAH5m7/w=")</f>
        <v>#REF!</v>
      </c>
      <c r="IT62" t="e">
        <f>AND(#REF!,"AAAAAH5m7/0=")</f>
        <v>#REF!</v>
      </c>
      <c r="IU62" t="e">
        <f>AND(#REF!,"AAAAAH5m7/4=")</f>
        <v>#REF!</v>
      </c>
      <c r="IV62" t="e">
        <f>AND(#REF!,"AAAAAH5m7/8=")</f>
        <v>#REF!</v>
      </c>
    </row>
    <row r="63" spans="1:256" x14ac:dyDescent="0.25">
      <c r="A63" t="e">
        <f>AND(#REF!,"AAAAAFm/tgA=")</f>
        <v>#REF!</v>
      </c>
      <c r="B63" t="e">
        <f>AND(#REF!,"AAAAAFm/tgE=")</f>
        <v>#REF!</v>
      </c>
      <c r="C63" t="e">
        <f>AND(#REF!,"AAAAAFm/tgI=")</f>
        <v>#REF!</v>
      </c>
      <c r="D63" t="e">
        <f>AND(#REF!,"AAAAAFm/tgM=")</f>
        <v>#REF!</v>
      </c>
      <c r="E63" t="e">
        <f>IF(#REF!,"AAAAAFm/tgQ=",0)</f>
        <v>#REF!</v>
      </c>
      <c r="F63" t="e">
        <f>AND(#REF!,"AAAAAFm/tgU=")</f>
        <v>#REF!</v>
      </c>
      <c r="G63" t="e">
        <f>AND(#REF!,"AAAAAFm/tgY=")</f>
        <v>#REF!</v>
      </c>
      <c r="H63" t="e">
        <f>AND(#REF!,"AAAAAFm/tgc=")</f>
        <v>#REF!</v>
      </c>
      <c r="I63" t="e">
        <f>AND(#REF!,"AAAAAFm/tgg=")</f>
        <v>#REF!</v>
      </c>
      <c r="J63" t="e">
        <f>AND(#REF!,"AAAAAFm/tgk=")</f>
        <v>#REF!</v>
      </c>
      <c r="K63" t="e">
        <f>AND(#REF!,"AAAAAFm/tgo=")</f>
        <v>#REF!</v>
      </c>
      <c r="L63" t="e">
        <f>AND(#REF!,"AAAAAFm/tgs=")</f>
        <v>#REF!</v>
      </c>
      <c r="M63" t="e">
        <f>AND(#REF!,"AAAAAFm/tgw=")</f>
        <v>#REF!</v>
      </c>
      <c r="N63" t="e">
        <f>AND(#REF!,"AAAAAFm/tg0=")</f>
        <v>#REF!</v>
      </c>
      <c r="O63" t="e">
        <f>AND(#REF!,"AAAAAFm/tg4=")</f>
        <v>#REF!</v>
      </c>
      <c r="P63" t="e">
        <f>AND(#REF!,"AAAAAFm/tg8=")</f>
        <v>#REF!</v>
      </c>
      <c r="Q63" t="e">
        <f>AND(#REF!,"AAAAAFm/thA=")</f>
        <v>#REF!</v>
      </c>
      <c r="R63" t="e">
        <f>AND(#REF!,"AAAAAFm/thE=")</f>
        <v>#REF!</v>
      </c>
      <c r="S63" t="e">
        <f>AND(#REF!,"AAAAAFm/thI=")</f>
        <v>#REF!</v>
      </c>
      <c r="T63" t="e">
        <f>AND(#REF!,"AAAAAFm/thM=")</f>
        <v>#REF!</v>
      </c>
      <c r="U63" t="e">
        <f>AND(#REF!,"AAAAAFm/thQ=")</f>
        <v>#REF!</v>
      </c>
      <c r="V63" t="e">
        <f>IF(#REF!,"AAAAAFm/thU=",0)</f>
        <v>#REF!</v>
      </c>
      <c r="W63" t="e">
        <f>AND(#REF!,"AAAAAFm/thY=")</f>
        <v>#REF!</v>
      </c>
      <c r="X63" t="e">
        <f>AND(#REF!,"AAAAAFm/thc=")</f>
        <v>#REF!</v>
      </c>
      <c r="Y63" t="e">
        <f>AND(#REF!,"AAAAAFm/thg=")</f>
        <v>#REF!</v>
      </c>
      <c r="Z63" t="e">
        <f>AND(#REF!,"AAAAAFm/thk=")</f>
        <v>#REF!</v>
      </c>
      <c r="AA63" t="e">
        <f>AND(#REF!,"AAAAAFm/tho=")</f>
        <v>#REF!</v>
      </c>
      <c r="AB63" t="e">
        <f>AND(#REF!,"AAAAAFm/ths=")</f>
        <v>#REF!</v>
      </c>
      <c r="AC63" t="e">
        <f>AND(#REF!,"AAAAAFm/thw=")</f>
        <v>#REF!</v>
      </c>
      <c r="AD63" t="e">
        <f>AND(#REF!,"AAAAAFm/th0=")</f>
        <v>#REF!</v>
      </c>
      <c r="AE63" t="e">
        <f>AND(#REF!,"AAAAAFm/th4=")</f>
        <v>#REF!</v>
      </c>
      <c r="AF63" t="e">
        <f>AND(#REF!,"AAAAAFm/th8=")</f>
        <v>#REF!</v>
      </c>
      <c r="AG63" t="e">
        <f>AND(#REF!,"AAAAAFm/tiA=")</f>
        <v>#REF!</v>
      </c>
      <c r="AH63" t="e">
        <f>AND(#REF!,"AAAAAFm/tiE=")</f>
        <v>#REF!</v>
      </c>
      <c r="AI63" t="e">
        <f>AND(#REF!,"AAAAAFm/tiI=")</f>
        <v>#REF!</v>
      </c>
      <c r="AJ63" t="e">
        <f>AND(#REF!,"AAAAAFm/tiM=")</f>
        <v>#REF!</v>
      </c>
      <c r="AK63" t="e">
        <f>AND(#REF!,"AAAAAFm/tiQ=")</f>
        <v>#REF!</v>
      </c>
      <c r="AL63" t="e">
        <f>AND(#REF!,"AAAAAFm/tiU=")</f>
        <v>#REF!</v>
      </c>
      <c r="AM63" t="e">
        <f>IF(#REF!,"AAAAAFm/tiY=",0)</f>
        <v>#REF!</v>
      </c>
      <c r="AN63" t="e">
        <f>AND(#REF!,"AAAAAFm/tic=")</f>
        <v>#REF!</v>
      </c>
      <c r="AO63" t="e">
        <f>AND(#REF!,"AAAAAFm/tig=")</f>
        <v>#REF!</v>
      </c>
      <c r="AP63" t="e">
        <f>AND(#REF!,"AAAAAFm/tik=")</f>
        <v>#REF!</v>
      </c>
      <c r="AQ63" t="e">
        <f>AND(#REF!,"AAAAAFm/tio=")</f>
        <v>#REF!</v>
      </c>
      <c r="AR63" t="e">
        <f>AND(#REF!,"AAAAAFm/tis=")</f>
        <v>#REF!</v>
      </c>
      <c r="AS63" t="e">
        <f>AND(#REF!,"AAAAAFm/tiw=")</f>
        <v>#REF!</v>
      </c>
      <c r="AT63" t="e">
        <f>AND(#REF!,"AAAAAFm/ti0=")</f>
        <v>#REF!</v>
      </c>
      <c r="AU63" t="e">
        <f>AND(#REF!,"AAAAAFm/ti4=")</f>
        <v>#REF!</v>
      </c>
      <c r="AV63" t="e">
        <f>AND(#REF!,"AAAAAFm/ti8=")</f>
        <v>#REF!</v>
      </c>
      <c r="AW63" t="e">
        <f>AND(#REF!,"AAAAAFm/tjA=")</f>
        <v>#REF!</v>
      </c>
      <c r="AX63" t="e">
        <f>AND(#REF!,"AAAAAFm/tjE=")</f>
        <v>#REF!</v>
      </c>
      <c r="AY63" t="e">
        <f>AND(#REF!,"AAAAAFm/tjI=")</f>
        <v>#REF!</v>
      </c>
      <c r="AZ63" t="e">
        <f>AND(#REF!,"AAAAAFm/tjM=")</f>
        <v>#REF!</v>
      </c>
      <c r="BA63" t="e">
        <f>AND(#REF!,"AAAAAFm/tjQ=")</f>
        <v>#REF!</v>
      </c>
      <c r="BB63" t="e">
        <f>AND(#REF!,"AAAAAFm/tjU=")</f>
        <v>#REF!</v>
      </c>
      <c r="BC63" t="e">
        <f>AND(#REF!,"AAAAAFm/tjY=")</f>
        <v>#REF!</v>
      </c>
      <c r="BD63" t="e">
        <f>IF(#REF!,"AAAAAFm/tjc=",0)</f>
        <v>#REF!</v>
      </c>
      <c r="BE63" t="e">
        <f>AND(#REF!,"AAAAAFm/tjg=")</f>
        <v>#REF!</v>
      </c>
      <c r="BF63" t="e">
        <f>AND(#REF!,"AAAAAFm/tjk=")</f>
        <v>#REF!</v>
      </c>
      <c r="BG63" t="e">
        <f>AND(#REF!,"AAAAAFm/tjo=")</f>
        <v>#REF!</v>
      </c>
      <c r="BH63" t="e">
        <f>AND(#REF!,"AAAAAFm/tjs=")</f>
        <v>#REF!</v>
      </c>
      <c r="BI63" t="e">
        <f>AND(#REF!,"AAAAAFm/tjw=")</f>
        <v>#REF!</v>
      </c>
      <c r="BJ63" t="e">
        <f>AND(#REF!,"AAAAAFm/tj0=")</f>
        <v>#REF!</v>
      </c>
      <c r="BK63" t="e">
        <f>AND(#REF!,"AAAAAFm/tj4=")</f>
        <v>#REF!</v>
      </c>
      <c r="BL63" t="e">
        <f>AND(#REF!,"AAAAAFm/tj8=")</f>
        <v>#REF!</v>
      </c>
      <c r="BM63" t="e">
        <f>AND(#REF!,"AAAAAFm/tkA=")</f>
        <v>#REF!</v>
      </c>
      <c r="BN63" t="e">
        <f>AND(#REF!,"AAAAAFm/tkE=")</f>
        <v>#REF!</v>
      </c>
      <c r="BO63" t="e">
        <f>AND(#REF!,"AAAAAFm/tkI=")</f>
        <v>#REF!</v>
      </c>
      <c r="BP63" t="e">
        <f>AND(#REF!,"AAAAAFm/tkM=")</f>
        <v>#REF!</v>
      </c>
      <c r="BQ63" t="e">
        <f>AND(#REF!,"AAAAAFm/tkQ=")</f>
        <v>#REF!</v>
      </c>
      <c r="BR63" t="e">
        <f>AND(#REF!,"AAAAAFm/tkU=")</f>
        <v>#REF!</v>
      </c>
      <c r="BS63" t="e">
        <f>AND(#REF!,"AAAAAFm/tkY=")</f>
        <v>#REF!</v>
      </c>
      <c r="BT63" t="e">
        <f>AND(#REF!,"AAAAAFm/tkc=")</f>
        <v>#REF!</v>
      </c>
      <c r="BU63" t="e">
        <f>IF(#REF!,"AAAAAFm/tkg=",0)</f>
        <v>#REF!</v>
      </c>
      <c r="BV63" t="e">
        <f>AND(#REF!,"AAAAAFm/tkk=")</f>
        <v>#REF!</v>
      </c>
      <c r="BW63" t="e">
        <f>AND(#REF!,"AAAAAFm/tko=")</f>
        <v>#REF!</v>
      </c>
      <c r="BX63" t="e">
        <f>AND(#REF!,"AAAAAFm/tks=")</f>
        <v>#REF!</v>
      </c>
      <c r="BY63" t="e">
        <f>AND(#REF!,"AAAAAFm/tkw=")</f>
        <v>#REF!</v>
      </c>
      <c r="BZ63" t="e">
        <f>AND(#REF!,"AAAAAFm/tk0=")</f>
        <v>#REF!</v>
      </c>
      <c r="CA63" t="e">
        <f>AND(#REF!,"AAAAAFm/tk4=")</f>
        <v>#REF!</v>
      </c>
      <c r="CB63" t="e">
        <f>AND(#REF!,"AAAAAFm/tk8=")</f>
        <v>#REF!</v>
      </c>
      <c r="CC63" t="e">
        <f>AND(#REF!,"AAAAAFm/tlA=")</f>
        <v>#REF!</v>
      </c>
      <c r="CD63" t="e">
        <f>AND(#REF!,"AAAAAFm/tlE=")</f>
        <v>#REF!</v>
      </c>
      <c r="CE63" t="e">
        <f>AND(#REF!,"AAAAAFm/tlI=")</f>
        <v>#REF!</v>
      </c>
      <c r="CF63" t="e">
        <f>AND(#REF!,"AAAAAFm/tlM=")</f>
        <v>#REF!</v>
      </c>
      <c r="CG63" t="e">
        <f>AND(#REF!,"AAAAAFm/tlQ=")</f>
        <v>#REF!</v>
      </c>
      <c r="CH63" t="e">
        <f>AND(#REF!,"AAAAAFm/tlU=")</f>
        <v>#REF!</v>
      </c>
      <c r="CI63" t="e">
        <f>AND(#REF!,"AAAAAFm/tlY=")</f>
        <v>#REF!</v>
      </c>
      <c r="CJ63" t="e">
        <f>AND(#REF!,"AAAAAFm/tlc=")</f>
        <v>#REF!</v>
      </c>
      <c r="CK63" t="e">
        <f>AND(#REF!,"AAAAAFm/tlg=")</f>
        <v>#REF!</v>
      </c>
      <c r="CL63" t="e">
        <f>IF(#REF!,"AAAAAFm/tlk=",0)</f>
        <v>#REF!</v>
      </c>
      <c r="CM63" t="e">
        <f>AND(#REF!,"AAAAAFm/tlo=")</f>
        <v>#REF!</v>
      </c>
      <c r="CN63" t="e">
        <f>AND(#REF!,"AAAAAFm/tls=")</f>
        <v>#REF!</v>
      </c>
      <c r="CO63" t="e">
        <f>AND(#REF!,"AAAAAFm/tlw=")</f>
        <v>#REF!</v>
      </c>
      <c r="CP63" t="e">
        <f>AND(#REF!,"AAAAAFm/tl0=")</f>
        <v>#REF!</v>
      </c>
      <c r="CQ63" t="e">
        <f>AND(#REF!,"AAAAAFm/tl4=")</f>
        <v>#REF!</v>
      </c>
      <c r="CR63" t="e">
        <f>AND(#REF!,"AAAAAFm/tl8=")</f>
        <v>#REF!</v>
      </c>
      <c r="CS63" t="e">
        <f>AND(#REF!,"AAAAAFm/tmA=")</f>
        <v>#REF!</v>
      </c>
      <c r="CT63" t="e">
        <f>AND(#REF!,"AAAAAFm/tmE=")</f>
        <v>#REF!</v>
      </c>
      <c r="CU63" t="e">
        <f>AND(#REF!,"AAAAAFm/tmI=")</f>
        <v>#REF!</v>
      </c>
      <c r="CV63" t="e">
        <f>AND(#REF!,"AAAAAFm/tmM=")</f>
        <v>#REF!</v>
      </c>
      <c r="CW63" t="e">
        <f>AND(#REF!,"AAAAAFm/tmQ=")</f>
        <v>#REF!</v>
      </c>
      <c r="CX63" t="e">
        <f>AND(#REF!,"AAAAAFm/tmU=")</f>
        <v>#REF!</v>
      </c>
      <c r="CY63" t="e">
        <f>AND(#REF!,"AAAAAFm/tmY=")</f>
        <v>#REF!</v>
      </c>
      <c r="CZ63" t="e">
        <f>AND(#REF!,"AAAAAFm/tmc=")</f>
        <v>#REF!</v>
      </c>
      <c r="DA63" t="e">
        <f>AND(#REF!,"AAAAAFm/tmg=")</f>
        <v>#REF!</v>
      </c>
      <c r="DB63" t="e">
        <f>AND(#REF!,"AAAAAFm/tmk=")</f>
        <v>#REF!</v>
      </c>
      <c r="DC63" t="e">
        <f>IF(#REF!,"AAAAAFm/tmo=",0)</f>
        <v>#REF!</v>
      </c>
      <c r="DD63" t="e">
        <f>AND(#REF!,"AAAAAFm/tms=")</f>
        <v>#REF!</v>
      </c>
      <c r="DE63" t="e">
        <f>AND(#REF!,"AAAAAFm/tmw=")</f>
        <v>#REF!</v>
      </c>
      <c r="DF63" t="e">
        <f>AND(#REF!,"AAAAAFm/tm0=")</f>
        <v>#REF!</v>
      </c>
      <c r="DG63" t="e">
        <f>AND(#REF!,"AAAAAFm/tm4=")</f>
        <v>#REF!</v>
      </c>
      <c r="DH63" t="e">
        <f>AND(#REF!,"AAAAAFm/tm8=")</f>
        <v>#REF!</v>
      </c>
      <c r="DI63" t="e">
        <f>AND(#REF!,"AAAAAFm/tnA=")</f>
        <v>#REF!</v>
      </c>
      <c r="DJ63" t="e">
        <f>AND(#REF!,"AAAAAFm/tnE=")</f>
        <v>#REF!</v>
      </c>
      <c r="DK63" t="e">
        <f>AND(#REF!,"AAAAAFm/tnI=")</f>
        <v>#REF!</v>
      </c>
      <c r="DL63" t="e">
        <f>AND(#REF!,"AAAAAFm/tnM=")</f>
        <v>#REF!</v>
      </c>
      <c r="DM63" t="e">
        <f>AND(#REF!,"AAAAAFm/tnQ=")</f>
        <v>#REF!</v>
      </c>
      <c r="DN63" t="e">
        <f>AND(#REF!,"AAAAAFm/tnU=")</f>
        <v>#REF!</v>
      </c>
      <c r="DO63" t="e">
        <f>AND(#REF!,"AAAAAFm/tnY=")</f>
        <v>#REF!</v>
      </c>
      <c r="DP63" t="e">
        <f>AND(#REF!,"AAAAAFm/tnc=")</f>
        <v>#REF!</v>
      </c>
      <c r="DQ63" t="e">
        <f>AND(#REF!,"AAAAAFm/tng=")</f>
        <v>#REF!</v>
      </c>
      <c r="DR63" t="e">
        <f>AND(#REF!,"AAAAAFm/tnk=")</f>
        <v>#REF!</v>
      </c>
      <c r="DS63" t="e">
        <f>AND(#REF!,"AAAAAFm/tno=")</f>
        <v>#REF!</v>
      </c>
      <c r="DT63" t="e">
        <f>IF(#REF!,"AAAAAFm/tns=",0)</f>
        <v>#REF!</v>
      </c>
      <c r="DU63" t="e">
        <f>AND(#REF!,"AAAAAFm/tnw=")</f>
        <v>#REF!</v>
      </c>
      <c r="DV63" t="e">
        <f>AND(#REF!,"AAAAAFm/tn0=")</f>
        <v>#REF!</v>
      </c>
      <c r="DW63" t="e">
        <f>AND(#REF!,"AAAAAFm/tn4=")</f>
        <v>#REF!</v>
      </c>
      <c r="DX63" t="e">
        <f>AND(#REF!,"AAAAAFm/tn8=")</f>
        <v>#REF!</v>
      </c>
      <c r="DY63" t="e">
        <f>AND(#REF!,"AAAAAFm/toA=")</f>
        <v>#REF!</v>
      </c>
      <c r="DZ63" t="e">
        <f>AND(#REF!,"AAAAAFm/toE=")</f>
        <v>#REF!</v>
      </c>
      <c r="EA63" t="e">
        <f>AND(#REF!,"AAAAAFm/toI=")</f>
        <v>#REF!</v>
      </c>
      <c r="EB63" t="e">
        <f>AND(#REF!,"AAAAAFm/toM=")</f>
        <v>#REF!</v>
      </c>
      <c r="EC63" t="e">
        <f>AND(#REF!,"AAAAAFm/toQ=")</f>
        <v>#REF!</v>
      </c>
      <c r="ED63" t="e">
        <f>AND(#REF!,"AAAAAFm/toU=")</f>
        <v>#REF!</v>
      </c>
      <c r="EE63" t="e">
        <f>AND(#REF!,"AAAAAFm/toY=")</f>
        <v>#REF!</v>
      </c>
      <c r="EF63" t="e">
        <f>AND(#REF!,"AAAAAFm/toc=")</f>
        <v>#REF!</v>
      </c>
      <c r="EG63" t="e">
        <f>AND(#REF!,"AAAAAFm/tog=")</f>
        <v>#REF!</v>
      </c>
      <c r="EH63" t="e">
        <f>AND(#REF!,"AAAAAFm/tok=")</f>
        <v>#REF!</v>
      </c>
      <c r="EI63" t="e">
        <f>AND(#REF!,"AAAAAFm/too=")</f>
        <v>#REF!</v>
      </c>
      <c r="EJ63" t="e">
        <f>AND(#REF!,"AAAAAFm/tos=")</f>
        <v>#REF!</v>
      </c>
      <c r="EK63" t="e">
        <f>IF(#REF!,"AAAAAFm/tow=",0)</f>
        <v>#REF!</v>
      </c>
      <c r="EL63" t="e">
        <f>IF(#REF!,"AAAAAFm/to0=",0)</f>
        <v>#REF!</v>
      </c>
      <c r="EM63" t="e">
        <f>IF(#REF!,"AAAAAFm/to4=",0)</f>
        <v>#REF!</v>
      </c>
      <c r="EN63" t="e">
        <f>IF(#REF!,"AAAAAFm/to8=",0)</f>
        <v>#REF!</v>
      </c>
      <c r="EO63" t="e">
        <f>IF(#REF!,"AAAAAFm/tpA=",0)</f>
        <v>#REF!</v>
      </c>
      <c r="EP63" t="e">
        <f>IF(#REF!,"AAAAAFm/tpE=",0)</f>
        <v>#REF!</v>
      </c>
      <c r="EQ63" t="e">
        <f>IF(#REF!,"AAAAAFm/tpI=",0)</f>
        <v>#REF!</v>
      </c>
      <c r="ER63" t="e">
        <f>IF(#REF!,"AAAAAFm/tpM=",0)</f>
        <v>#REF!</v>
      </c>
      <c r="ES63" t="e">
        <f>IF(#REF!,"AAAAAFm/tpQ=",0)</f>
        <v>#REF!</v>
      </c>
      <c r="ET63" t="e">
        <f>IF(#REF!,"AAAAAFm/tpU=",0)</f>
        <v>#REF!</v>
      </c>
      <c r="EU63" t="e">
        <f>IF(#REF!,"AAAAAFm/tpY=",0)</f>
        <v>#REF!</v>
      </c>
      <c r="EV63" t="e">
        <f>IF(#REF!,"AAAAAFm/tpc=",0)</f>
        <v>#REF!</v>
      </c>
      <c r="EW63" t="e">
        <f>IF(#REF!,"AAAAAFm/tpg=",0)</f>
        <v>#REF!</v>
      </c>
      <c r="EX63" t="e">
        <f>IF(#REF!,"AAAAAFm/tpk=",0)</f>
        <v>#REF!</v>
      </c>
      <c r="EY63" t="e">
        <f>IF(#REF!,"AAAAAFm/tpo=",0)</f>
        <v>#REF!</v>
      </c>
      <c r="EZ63" t="e">
        <f>IF(#REF!,"AAAAAFm/tps=",0)</f>
        <v>#REF!</v>
      </c>
      <c r="FA63" t="e">
        <f>IF(#REF!,"AAAAAFm/tpw=",0)</f>
        <v>#REF!</v>
      </c>
      <c r="FB63" t="e">
        <f>AND(#REF!,"AAAAAFm/tp0=")</f>
        <v>#REF!</v>
      </c>
      <c r="FC63" t="e">
        <f>AND(#REF!,"AAAAAFm/tp4=")</f>
        <v>#REF!</v>
      </c>
      <c r="FD63" t="e">
        <f>AND(#REF!,"AAAAAFm/tp8=")</f>
        <v>#REF!</v>
      </c>
      <c r="FE63" t="e">
        <f>AND(#REF!,"AAAAAFm/tqA=")</f>
        <v>#REF!</v>
      </c>
      <c r="FF63" t="e">
        <f>AND(#REF!,"AAAAAFm/tqE=")</f>
        <v>#REF!</v>
      </c>
      <c r="FG63" t="e">
        <f>AND(#REF!,"AAAAAFm/tqI=")</f>
        <v>#REF!</v>
      </c>
      <c r="FH63" t="e">
        <f>AND(#REF!,"AAAAAFm/tqM=")</f>
        <v>#REF!</v>
      </c>
      <c r="FI63" t="e">
        <f>AND(#REF!,"AAAAAFm/tqQ=")</f>
        <v>#REF!</v>
      </c>
      <c r="FJ63" t="e">
        <f>AND(#REF!,"AAAAAFm/tqU=")</f>
        <v>#REF!</v>
      </c>
      <c r="FK63" t="e">
        <f>AND(#REF!,"AAAAAFm/tqY=")</f>
        <v>#REF!</v>
      </c>
      <c r="FL63" t="e">
        <f>AND(#REF!,"AAAAAFm/tqc=")</f>
        <v>#REF!</v>
      </c>
      <c r="FM63" t="e">
        <f>AND(#REF!,"AAAAAFm/tqg=")</f>
        <v>#REF!</v>
      </c>
      <c r="FN63" t="e">
        <f>AND(#REF!,"AAAAAFm/tqk=")</f>
        <v>#REF!</v>
      </c>
      <c r="FO63" t="e">
        <f>AND(#REF!,"AAAAAFm/tqo=")</f>
        <v>#REF!</v>
      </c>
      <c r="FP63" t="e">
        <f>AND(#REF!,"AAAAAFm/tqs=")</f>
        <v>#REF!</v>
      </c>
      <c r="FQ63" t="e">
        <f>AND(#REF!,"AAAAAFm/tqw=")</f>
        <v>#REF!</v>
      </c>
      <c r="FR63" t="e">
        <f>IF(#REF!,"AAAAAFm/tq0=",0)</f>
        <v>#REF!</v>
      </c>
      <c r="FS63" t="e">
        <f>AND(#REF!,"AAAAAFm/tq4=")</f>
        <v>#REF!</v>
      </c>
      <c r="FT63" t="e">
        <f>AND(#REF!,"AAAAAFm/tq8=")</f>
        <v>#REF!</v>
      </c>
      <c r="FU63" t="e">
        <f>AND(#REF!,"AAAAAFm/trA=")</f>
        <v>#REF!</v>
      </c>
      <c r="FV63" t="e">
        <f>AND(#REF!,"AAAAAFm/trE=")</f>
        <v>#REF!</v>
      </c>
      <c r="FW63" t="e">
        <f>AND(#REF!,"AAAAAFm/trI=")</f>
        <v>#REF!</v>
      </c>
      <c r="FX63" t="e">
        <f>AND(#REF!,"AAAAAFm/trM=")</f>
        <v>#REF!</v>
      </c>
      <c r="FY63" t="e">
        <f>AND(#REF!,"AAAAAFm/trQ=")</f>
        <v>#REF!</v>
      </c>
      <c r="FZ63" t="e">
        <f>AND(#REF!,"AAAAAFm/trU=")</f>
        <v>#REF!</v>
      </c>
      <c r="GA63" t="e">
        <f>AND(#REF!,"AAAAAFm/trY=")</f>
        <v>#REF!</v>
      </c>
      <c r="GB63" t="e">
        <f>AND(#REF!,"AAAAAFm/trc=")</f>
        <v>#REF!</v>
      </c>
      <c r="GC63" t="e">
        <f>AND(#REF!,"AAAAAFm/trg=")</f>
        <v>#REF!</v>
      </c>
      <c r="GD63" t="e">
        <f>AND(#REF!,"AAAAAFm/trk=")</f>
        <v>#REF!</v>
      </c>
      <c r="GE63" t="e">
        <f>AND(#REF!,"AAAAAFm/tro=")</f>
        <v>#REF!</v>
      </c>
      <c r="GF63" t="e">
        <f>AND(#REF!,"AAAAAFm/trs=")</f>
        <v>#REF!</v>
      </c>
      <c r="GG63" t="e">
        <f>AND(#REF!,"AAAAAFm/trw=")</f>
        <v>#REF!</v>
      </c>
      <c r="GH63" t="e">
        <f>AND(#REF!,"AAAAAFm/tr0=")</f>
        <v>#REF!</v>
      </c>
      <c r="GI63" t="e">
        <f>IF(#REF!,"AAAAAFm/tr4=",0)</f>
        <v>#REF!</v>
      </c>
      <c r="GJ63" t="e">
        <f>AND(#REF!,"AAAAAFm/tr8=")</f>
        <v>#REF!</v>
      </c>
      <c r="GK63" t="e">
        <f>AND(#REF!,"AAAAAFm/tsA=")</f>
        <v>#REF!</v>
      </c>
      <c r="GL63" t="e">
        <f>AND(#REF!,"AAAAAFm/tsE=")</f>
        <v>#REF!</v>
      </c>
      <c r="GM63" t="e">
        <f>AND(#REF!,"AAAAAFm/tsI=")</f>
        <v>#REF!</v>
      </c>
      <c r="GN63" t="e">
        <f>AND(#REF!,"AAAAAFm/tsM=")</f>
        <v>#REF!</v>
      </c>
      <c r="GO63" t="e">
        <f>AND(#REF!,"AAAAAFm/tsQ=")</f>
        <v>#REF!</v>
      </c>
      <c r="GP63" t="e">
        <f>AND(#REF!,"AAAAAFm/tsU=")</f>
        <v>#REF!</v>
      </c>
      <c r="GQ63" t="e">
        <f>AND(#REF!,"AAAAAFm/tsY=")</f>
        <v>#REF!</v>
      </c>
      <c r="GR63" t="e">
        <f>AND(#REF!,"AAAAAFm/tsc=")</f>
        <v>#REF!</v>
      </c>
      <c r="GS63" t="e">
        <f>AND(#REF!,"AAAAAFm/tsg=")</f>
        <v>#REF!</v>
      </c>
      <c r="GT63" t="e">
        <f>AND(#REF!,"AAAAAFm/tsk=")</f>
        <v>#REF!</v>
      </c>
      <c r="GU63" t="e">
        <f>AND(#REF!,"AAAAAFm/tso=")</f>
        <v>#REF!</v>
      </c>
      <c r="GV63" t="e">
        <f>AND(#REF!,"AAAAAFm/tss=")</f>
        <v>#REF!</v>
      </c>
      <c r="GW63" t="e">
        <f>AND(#REF!,"AAAAAFm/tsw=")</f>
        <v>#REF!</v>
      </c>
      <c r="GX63" t="e">
        <f>AND(#REF!,"AAAAAFm/ts0=")</f>
        <v>#REF!</v>
      </c>
      <c r="GY63" t="e">
        <f>AND(#REF!,"AAAAAFm/ts4=")</f>
        <v>#REF!</v>
      </c>
      <c r="GZ63" t="e">
        <f>IF(#REF!,"AAAAAFm/ts8=",0)</f>
        <v>#REF!</v>
      </c>
      <c r="HA63" t="e">
        <f>AND(#REF!,"AAAAAFm/ttA=")</f>
        <v>#REF!</v>
      </c>
      <c r="HB63" t="e">
        <f>AND(#REF!,"AAAAAFm/ttE=")</f>
        <v>#REF!</v>
      </c>
      <c r="HC63" t="e">
        <f>AND(#REF!,"AAAAAFm/ttI=")</f>
        <v>#REF!</v>
      </c>
      <c r="HD63" t="e">
        <f>AND(#REF!,"AAAAAFm/ttM=")</f>
        <v>#REF!</v>
      </c>
      <c r="HE63" t="e">
        <f>AND(#REF!,"AAAAAFm/ttQ=")</f>
        <v>#REF!</v>
      </c>
      <c r="HF63" t="e">
        <f>AND(#REF!,"AAAAAFm/ttU=")</f>
        <v>#REF!</v>
      </c>
      <c r="HG63" t="e">
        <f>AND(#REF!,"AAAAAFm/ttY=")</f>
        <v>#REF!</v>
      </c>
      <c r="HH63" t="e">
        <f>AND(#REF!,"AAAAAFm/ttc=")</f>
        <v>#REF!</v>
      </c>
      <c r="HI63" t="e">
        <f>AND(#REF!,"AAAAAFm/ttg=")</f>
        <v>#REF!</v>
      </c>
      <c r="HJ63" t="e">
        <f>AND(#REF!,"AAAAAFm/ttk=")</f>
        <v>#REF!</v>
      </c>
      <c r="HK63" t="e">
        <f>AND(#REF!,"AAAAAFm/tto=")</f>
        <v>#REF!</v>
      </c>
      <c r="HL63" t="e">
        <f>AND(#REF!,"AAAAAFm/tts=")</f>
        <v>#REF!</v>
      </c>
      <c r="HM63" t="e">
        <f>AND(#REF!,"AAAAAFm/ttw=")</f>
        <v>#REF!</v>
      </c>
      <c r="HN63" t="e">
        <f>AND(#REF!,"AAAAAFm/tt0=")</f>
        <v>#REF!</v>
      </c>
      <c r="HO63" t="e">
        <f>AND(#REF!,"AAAAAFm/tt4=")</f>
        <v>#REF!</v>
      </c>
      <c r="HP63" t="e">
        <f>AND(#REF!,"AAAAAFm/tt8=")</f>
        <v>#REF!</v>
      </c>
      <c r="HQ63" t="e">
        <f>IF(#REF!,"AAAAAFm/tuA=",0)</f>
        <v>#REF!</v>
      </c>
      <c r="HR63" t="e">
        <f>AND(#REF!,"AAAAAFm/tuE=")</f>
        <v>#REF!</v>
      </c>
      <c r="HS63" t="e">
        <f>AND(#REF!,"AAAAAFm/tuI=")</f>
        <v>#REF!</v>
      </c>
      <c r="HT63" t="e">
        <f>AND(#REF!,"AAAAAFm/tuM=")</f>
        <v>#REF!</v>
      </c>
      <c r="HU63" t="e">
        <f>AND(#REF!,"AAAAAFm/tuQ=")</f>
        <v>#REF!</v>
      </c>
      <c r="HV63" t="e">
        <f>AND(#REF!,"AAAAAFm/tuU=")</f>
        <v>#REF!</v>
      </c>
      <c r="HW63" t="e">
        <f>AND(#REF!,"AAAAAFm/tuY=")</f>
        <v>#REF!</v>
      </c>
      <c r="HX63" t="e">
        <f>AND(#REF!,"AAAAAFm/tuc=")</f>
        <v>#REF!</v>
      </c>
      <c r="HY63" t="e">
        <f>AND(#REF!,"AAAAAFm/tug=")</f>
        <v>#REF!</v>
      </c>
      <c r="HZ63" t="e">
        <f>AND(#REF!,"AAAAAFm/tuk=")</f>
        <v>#REF!</v>
      </c>
      <c r="IA63" t="e">
        <f>AND(#REF!,"AAAAAFm/tuo=")</f>
        <v>#REF!</v>
      </c>
      <c r="IB63" t="e">
        <f>AND(#REF!,"AAAAAFm/tus=")</f>
        <v>#REF!</v>
      </c>
      <c r="IC63" t="e">
        <f>AND(#REF!,"AAAAAFm/tuw=")</f>
        <v>#REF!</v>
      </c>
      <c r="ID63" t="e">
        <f>AND(#REF!,"AAAAAFm/tu0=")</f>
        <v>#REF!</v>
      </c>
      <c r="IE63" t="e">
        <f>AND(#REF!,"AAAAAFm/tu4=")</f>
        <v>#REF!</v>
      </c>
      <c r="IF63" t="e">
        <f>AND(#REF!,"AAAAAFm/tu8=")</f>
        <v>#REF!</v>
      </c>
      <c r="IG63" t="e">
        <f>AND(#REF!,"AAAAAFm/tvA=")</f>
        <v>#REF!</v>
      </c>
      <c r="IH63" t="e">
        <f>IF(#REF!,"AAAAAFm/tvE=",0)</f>
        <v>#REF!</v>
      </c>
      <c r="II63" t="e">
        <f>AND(#REF!,"AAAAAFm/tvI=")</f>
        <v>#REF!</v>
      </c>
      <c r="IJ63" t="e">
        <f>AND(#REF!,"AAAAAFm/tvM=")</f>
        <v>#REF!</v>
      </c>
      <c r="IK63" t="e">
        <f>AND(#REF!,"AAAAAFm/tvQ=")</f>
        <v>#REF!</v>
      </c>
      <c r="IL63" t="e">
        <f>AND(#REF!,"AAAAAFm/tvU=")</f>
        <v>#REF!</v>
      </c>
      <c r="IM63" t="e">
        <f>AND(#REF!,"AAAAAFm/tvY=")</f>
        <v>#REF!</v>
      </c>
      <c r="IN63" t="e">
        <f>AND(#REF!,"AAAAAFm/tvc=")</f>
        <v>#REF!</v>
      </c>
      <c r="IO63" t="e">
        <f>AND(#REF!,"AAAAAFm/tvg=")</f>
        <v>#REF!</v>
      </c>
      <c r="IP63" t="e">
        <f>AND(#REF!,"AAAAAFm/tvk=")</f>
        <v>#REF!</v>
      </c>
      <c r="IQ63" t="e">
        <f>AND(#REF!,"AAAAAFm/tvo=")</f>
        <v>#REF!</v>
      </c>
      <c r="IR63" t="e">
        <f>AND(#REF!,"AAAAAFm/tvs=")</f>
        <v>#REF!</v>
      </c>
      <c r="IS63" t="e">
        <f>AND(#REF!,"AAAAAFm/tvw=")</f>
        <v>#REF!</v>
      </c>
      <c r="IT63" t="e">
        <f>AND(#REF!,"AAAAAFm/tv0=")</f>
        <v>#REF!</v>
      </c>
      <c r="IU63" t="e">
        <f>AND(#REF!,"AAAAAFm/tv4=")</f>
        <v>#REF!</v>
      </c>
      <c r="IV63" t="e">
        <f>AND(#REF!,"AAAAAFm/tv8=")</f>
        <v>#REF!</v>
      </c>
    </row>
    <row r="64" spans="1:256" x14ac:dyDescent="0.25">
      <c r="A64" t="e">
        <f>AND(#REF!,"AAAAAG9/jQA=")</f>
        <v>#REF!</v>
      </c>
      <c r="B64" t="e">
        <f>AND(#REF!,"AAAAAG9/jQE=")</f>
        <v>#REF!</v>
      </c>
      <c r="C64" t="e">
        <f>IF(#REF!,"AAAAAG9/jQI=",0)</f>
        <v>#REF!</v>
      </c>
      <c r="D64" t="e">
        <f>AND(#REF!,"AAAAAG9/jQM=")</f>
        <v>#REF!</v>
      </c>
      <c r="E64" t="e">
        <f>AND(#REF!,"AAAAAG9/jQQ=")</f>
        <v>#REF!</v>
      </c>
      <c r="F64" t="e">
        <f>AND(#REF!,"AAAAAG9/jQU=")</f>
        <v>#REF!</v>
      </c>
      <c r="G64" t="e">
        <f>AND(#REF!,"AAAAAG9/jQY=")</f>
        <v>#REF!</v>
      </c>
      <c r="H64" t="e">
        <f>AND(#REF!,"AAAAAG9/jQc=")</f>
        <v>#REF!</v>
      </c>
      <c r="I64" t="e">
        <f>AND(#REF!,"AAAAAG9/jQg=")</f>
        <v>#REF!</v>
      </c>
      <c r="J64" t="e">
        <f>AND(#REF!,"AAAAAG9/jQk=")</f>
        <v>#REF!</v>
      </c>
      <c r="K64" t="e">
        <f>AND(#REF!,"AAAAAG9/jQo=")</f>
        <v>#REF!</v>
      </c>
      <c r="L64" t="e">
        <f>AND(#REF!,"AAAAAG9/jQs=")</f>
        <v>#REF!</v>
      </c>
      <c r="M64" t="e">
        <f>AND(#REF!,"AAAAAG9/jQw=")</f>
        <v>#REF!</v>
      </c>
      <c r="N64" t="e">
        <f>AND(#REF!,"AAAAAG9/jQ0=")</f>
        <v>#REF!</v>
      </c>
      <c r="O64" t="e">
        <f>AND(#REF!,"AAAAAG9/jQ4=")</f>
        <v>#REF!</v>
      </c>
      <c r="P64" t="e">
        <f>AND(#REF!,"AAAAAG9/jQ8=")</f>
        <v>#REF!</v>
      </c>
      <c r="Q64" t="e">
        <f>AND(#REF!,"AAAAAG9/jRA=")</f>
        <v>#REF!</v>
      </c>
      <c r="R64" t="e">
        <f>AND(#REF!,"AAAAAG9/jRE=")</f>
        <v>#REF!</v>
      </c>
      <c r="S64" t="e">
        <f>AND(#REF!,"AAAAAG9/jRI=")</f>
        <v>#REF!</v>
      </c>
      <c r="T64" t="e">
        <f>IF(#REF!,"AAAAAG9/jRM=",0)</f>
        <v>#REF!</v>
      </c>
      <c r="U64" t="e">
        <f>AND(#REF!,"AAAAAG9/jRQ=")</f>
        <v>#REF!</v>
      </c>
      <c r="V64" t="e">
        <f>AND(#REF!,"AAAAAG9/jRU=")</f>
        <v>#REF!</v>
      </c>
      <c r="W64" t="e">
        <f>AND(#REF!,"AAAAAG9/jRY=")</f>
        <v>#REF!</v>
      </c>
      <c r="X64" t="e">
        <f>AND(#REF!,"AAAAAG9/jRc=")</f>
        <v>#REF!</v>
      </c>
      <c r="Y64" t="e">
        <f>AND(#REF!,"AAAAAG9/jRg=")</f>
        <v>#REF!</v>
      </c>
      <c r="Z64" t="e">
        <f>AND(#REF!,"AAAAAG9/jRk=")</f>
        <v>#REF!</v>
      </c>
      <c r="AA64" t="e">
        <f>AND(#REF!,"AAAAAG9/jRo=")</f>
        <v>#REF!</v>
      </c>
      <c r="AB64" t="e">
        <f>AND(#REF!,"AAAAAG9/jRs=")</f>
        <v>#REF!</v>
      </c>
      <c r="AC64" t="e">
        <f>AND(#REF!,"AAAAAG9/jRw=")</f>
        <v>#REF!</v>
      </c>
      <c r="AD64" t="e">
        <f>AND(#REF!,"AAAAAG9/jR0=")</f>
        <v>#REF!</v>
      </c>
      <c r="AE64" t="e">
        <f>AND(#REF!,"AAAAAG9/jR4=")</f>
        <v>#REF!</v>
      </c>
      <c r="AF64" t="e">
        <f>AND(#REF!,"AAAAAG9/jR8=")</f>
        <v>#REF!</v>
      </c>
      <c r="AG64" t="e">
        <f>AND(#REF!,"AAAAAG9/jSA=")</f>
        <v>#REF!</v>
      </c>
      <c r="AH64" t="e">
        <f>AND(#REF!,"AAAAAG9/jSE=")</f>
        <v>#REF!</v>
      </c>
      <c r="AI64" t="e">
        <f>AND(#REF!,"AAAAAG9/jSI=")</f>
        <v>#REF!</v>
      </c>
      <c r="AJ64" t="e">
        <f>AND(#REF!,"AAAAAG9/jSM=")</f>
        <v>#REF!</v>
      </c>
      <c r="AK64" t="e">
        <f>IF(#REF!,"AAAAAG9/jSQ=",0)</f>
        <v>#REF!</v>
      </c>
      <c r="AL64" t="e">
        <f>AND(#REF!,"AAAAAG9/jSU=")</f>
        <v>#REF!</v>
      </c>
      <c r="AM64" t="e">
        <f>AND(#REF!,"AAAAAG9/jSY=")</f>
        <v>#REF!</v>
      </c>
      <c r="AN64" t="e">
        <f>AND(#REF!,"AAAAAG9/jSc=")</f>
        <v>#REF!</v>
      </c>
      <c r="AO64" t="e">
        <f>AND(#REF!,"AAAAAG9/jSg=")</f>
        <v>#REF!</v>
      </c>
      <c r="AP64" t="e">
        <f>AND(#REF!,"AAAAAG9/jSk=")</f>
        <v>#REF!</v>
      </c>
      <c r="AQ64" t="e">
        <f>AND(#REF!,"AAAAAG9/jSo=")</f>
        <v>#REF!</v>
      </c>
      <c r="AR64" t="e">
        <f>AND(#REF!,"AAAAAG9/jSs=")</f>
        <v>#REF!</v>
      </c>
      <c r="AS64" t="e">
        <f>AND(#REF!,"AAAAAG9/jSw=")</f>
        <v>#REF!</v>
      </c>
      <c r="AT64" t="e">
        <f>AND(#REF!,"AAAAAG9/jS0=")</f>
        <v>#REF!</v>
      </c>
      <c r="AU64" t="e">
        <f>AND(#REF!,"AAAAAG9/jS4=")</f>
        <v>#REF!</v>
      </c>
      <c r="AV64" t="e">
        <f>AND(#REF!,"AAAAAG9/jS8=")</f>
        <v>#REF!</v>
      </c>
      <c r="AW64" t="e">
        <f>AND(#REF!,"AAAAAG9/jTA=")</f>
        <v>#REF!</v>
      </c>
      <c r="AX64" t="e">
        <f>AND(#REF!,"AAAAAG9/jTE=")</f>
        <v>#REF!</v>
      </c>
      <c r="AY64" t="e">
        <f>AND(#REF!,"AAAAAG9/jTI=")</f>
        <v>#REF!</v>
      </c>
      <c r="AZ64" t="e">
        <f>AND(#REF!,"AAAAAG9/jTM=")</f>
        <v>#REF!</v>
      </c>
      <c r="BA64" t="e">
        <f>AND(#REF!,"AAAAAG9/jTQ=")</f>
        <v>#REF!</v>
      </c>
      <c r="BB64" t="e">
        <f>IF(#REF!,"AAAAAG9/jTU=",0)</f>
        <v>#REF!</v>
      </c>
      <c r="BC64" t="e">
        <f>AND(#REF!,"AAAAAG9/jTY=")</f>
        <v>#REF!</v>
      </c>
      <c r="BD64" t="e">
        <f>AND(#REF!,"AAAAAG9/jTc=")</f>
        <v>#REF!</v>
      </c>
      <c r="BE64" t="e">
        <f>AND(#REF!,"AAAAAG9/jTg=")</f>
        <v>#REF!</v>
      </c>
      <c r="BF64" t="e">
        <f>AND(#REF!,"AAAAAG9/jTk=")</f>
        <v>#REF!</v>
      </c>
      <c r="BG64" t="e">
        <f>AND(#REF!,"AAAAAG9/jTo=")</f>
        <v>#REF!</v>
      </c>
      <c r="BH64" t="e">
        <f>AND(#REF!,"AAAAAG9/jTs=")</f>
        <v>#REF!</v>
      </c>
      <c r="BI64" t="e">
        <f>AND(#REF!,"AAAAAG9/jTw=")</f>
        <v>#REF!</v>
      </c>
      <c r="BJ64" t="e">
        <f>AND(#REF!,"AAAAAG9/jT0=")</f>
        <v>#REF!</v>
      </c>
      <c r="BK64" t="e">
        <f>AND(#REF!,"AAAAAG9/jT4=")</f>
        <v>#REF!</v>
      </c>
      <c r="BL64" t="e">
        <f>AND(#REF!,"AAAAAG9/jT8=")</f>
        <v>#REF!</v>
      </c>
      <c r="BM64" t="e">
        <f>AND(#REF!,"AAAAAG9/jUA=")</f>
        <v>#REF!</v>
      </c>
      <c r="BN64" t="e">
        <f>AND(#REF!,"AAAAAG9/jUE=")</f>
        <v>#REF!</v>
      </c>
      <c r="BO64" t="e">
        <f>AND(#REF!,"AAAAAG9/jUI=")</f>
        <v>#REF!</v>
      </c>
      <c r="BP64" t="e">
        <f>AND(#REF!,"AAAAAG9/jUM=")</f>
        <v>#REF!</v>
      </c>
      <c r="BQ64" t="e">
        <f>AND(#REF!,"AAAAAG9/jUQ=")</f>
        <v>#REF!</v>
      </c>
      <c r="BR64" t="e">
        <f>AND(#REF!,"AAAAAG9/jUU=")</f>
        <v>#REF!</v>
      </c>
      <c r="BS64" t="e">
        <f>IF(#REF!,"AAAAAG9/jUY=",0)</f>
        <v>#REF!</v>
      </c>
      <c r="BT64" t="e">
        <f>AND(#REF!,"AAAAAG9/jUc=")</f>
        <v>#REF!</v>
      </c>
      <c r="BU64" t="e">
        <f>AND(#REF!,"AAAAAG9/jUg=")</f>
        <v>#REF!</v>
      </c>
      <c r="BV64" t="e">
        <f>AND(#REF!,"AAAAAG9/jUk=")</f>
        <v>#REF!</v>
      </c>
      <c r="BW64" t="e">
        <f>AND(#REF!,"AAAAAG9/jUo=")</f>
        <v>#REF!</v>
      </c>
      <c r="BX64" t="e">
        <f>AND(#REF!,"AAAAAG9/jUs=")</f>
        <v>#REF!</v>
      </c>
      <c r="BY64" t="e">
        <f>AND(#REF!,"AAAAAG9/jUw=")</f>
        <v>#REF!</v>
      </c>
      <c r="BZ64" t="e">
        <f>AND(#REF!,"AAAAAG9/jU0=")</f>
        <v>#REF!</v>
      </c>
      <c r="CA64" t="e">
        <f>AND(#REF!,"AAAAAG9/jU4=")</f>
        <v>#REF!</v>
      </c>
      <c r="CB64" t="e">
        <f>AND(#REF!,"AAAAAG9/jU8=")</f>
        <v>#REF!</v>
      </c>
      <c r="CC64" t="e">
        <f>AND(#REF!,"AAAAAG9/jVA=")</f>
        <v>#REF!</v>
      </c>
      <c r="CD64" t="e">
        <f>AND(#REF!,"AAAAAG9/jVE=")</f>
        <v>#REF!</v>
      </c>
      <c r="CE64" t="e">
        <f>AND(#REF!,"AAAAAG9/jVI=")</f>
        <v>#REF!</v>
      </c>
      <c r="CF64" t="e">
        <f>AND(#REF!,"AAAAAG9/jVM=")</f>
        <v>#REF!</v>
      </c>
      <c r="CG64" t="e">
        <f>AND(#REF!,"AAAAAG9/jVQ=")</f>
        <v>#REF!</v>
      </c>
      <c r="CH64" t="e">
        <f>AND(#REF!,"AAAAAG9/jVU=")</f>
        <v>#REF!</v>
      </c>
      <c r="CI64" t="e">
        <f>AND(#REF!,"AAAAAG9/jVY=")</f>
        <v>#REF!</v>
      </c>
      <c r="CJ64" t="e">
        <f>IF(#REF!,"AAAAAG9/jVc=",0)</f>
        <v>#REF!</v>
      </c>
      <c r="CK64" t="e">
        <f>AND(#REF!,"AAAAAG9/jVg=")</f>
        <v>#REF!</v>
      </c>
      <c r="CL64" t="e">
        <f>AND(#REF!,"AAAAAG9/jVk=")</f>
        <v>#REF!</v>
      </c>
      <c r="CM64" t="e">
        <f>AND(#REF!,"AAAAAG9/jVo=")</f>
        <v>#REF!</v>
      </c>
      <c r="CN64" t="e">
        <f>AND(#REF!,"AAAAAG9/jVs=")</f>
        <v>#REF!</v>
      </c>
      <c r="CO64" t="e">
        <f>AND(#REF!,"AAAAAG9/jVw=")</f>
        <v>#REF!</v>
      </c>
      <c r="CP64" t="e">
        <f>AND(#REF!,"AAAAAG9/jV0=")</f>
        <v>#REF!</v>
      </c>
      <c r="CQ64" t="e">
        <f>AND(#REF!,"AAAAAG9/jV4=")</f>
        <v>#REF!</v>
      </c>
      <c r="CR64" t="e">
        <f>AND(#REF!,"AAAAAG9/jV8=")</f>
        <v>#REF!</v>
      </c>
      <c r="CS64" t="e">
        <f>AND(#REF!,"AAAAAG9/jWA=")</f>
        <v>#REF!</v>
      </c>
      <c r="CT64" t="e">
        <f>AND(#REF!,"AAAAAG9/jWE=")</f>
        <v>#REF!</v>
      </c>
      <c r="CU64" t="e">
        <f>AND(#REF!,"AAAAAG9/jWI=")</f>
        <v>#REF!</v>
      </c>
      <c r="CV64" t="e">
        <f>AND(#REF!,"AAAAAG9/jWM=")</f>
        <v>#REF!</v>
      </c>
      <c r="CW64" t="e">
        <f>AND(#REF!,"AAAAAG9/jWQ=")</f>
        <v>#REF!</v>
      </c>
      <c r="CX64" t="e">
        <f>AND(#REF!,"AAAAAG9/jWU=")</f>
        <v>#REF!</v>
      </c>
      <c r="CY64" t="e">
        <f>AND(#REF!,"AAAAAG9/jWY=")</f>
        <v>#REF!</v>
      </c>
      <c r="CZ64" t="e">
        <f>AND(#REF!,"AAAAAG9/jWc=")</f>
        <v>#REF!</v>
      </c>
      <c r="DA64" t="e">
        <f>IF(#REF!,"AAAAAG9/jWg=",0)</f>
        <v>#REF!</v>
      </c>
      <c r="DB64" t="e">
        <f>AND(#REF!,"AAAAAG9/jWk=")</f>
        <v>#REF!</v>
      </c>
      <c r="DC64" t="e">
        <f>AND(#REF!,"AAAAAG9/jWo=")</f>
        <v>#REF!</v>
      </c>
      <c r="DD64" t="e">
        <f>AND(#REF!,"AAAAAG9/jWs=")</f>
        <v>#REF!</v>
      </c>
      <c r="DE64" t="e">
        <f>AND(#REF!,"AAAAAG9/jWw=")</f>
        <v>#REF!</v>
      </c>
      <c r="DF64" t="e">
        <f>AND(#REF!,"AAAAAG9/jW0=")</f>
        <v>#REF!</v>
      </c>
      <c r="DG64" t="e">
        <f>AND(#REF!,"AAAAAG9/jW4=")</f>
        <v>#REF!</v>
      </c>
      <c r="DH64" t="e">
        <f>AND(#REF!,"AAAAAG9/jW8=")</f>
        <v>#REF!</v>
      </c>
      <c r="DI64" t="e">
        <f>AND(#REF!,"AAAAAG9/jXA=")</f>
        <v>#REF!</v>
      </c>
      <c r="DJ64" t="e">
        <f>AND(#REF!,"AAAAAG9/jXE=")</f>
        <v>#REF!</v>
      </c>
      <c r="DK64" t="e">
        <f>AND(#REF!,"AAAAAG9/jXI=")</f>
        <v>#REF!</v>
      </c>
      <c r="DL64" t="e">
        <f>AND(#REF!,"AAAAAG9/jXM=")</f>
        <v>#REF!</v>
      </c>
      <c r="DM64" t="e">
        <f>AND(#REF!,"AAAAAG9/jXQ=")</f>
        <v>#REF!</v>
      </c>
      <c r="DN64" t="e">
        <f>AND(#REF!,"AAAAAG9/jXU=")</f>
        <v>#REF!</v>
      </c>
      <c r="DO64" t="e">
        <f>AND(#REF!,"AAAAAG9/jXY=")</f>
        <v>#REF!</v>
      </c>
      <c r="DP64" t="e">
        <f>AND(#REF!,"AAAAAG9/jXc=")</f>
        <v>#REF!</v>
      </c>
      <c r="DQ64" t="e">
        <f>AND(#REF!,"AAAAAG9/jXg=")</f>
        <v>#REF!</v>
      </c>
      <c r="DR64" t="e">
        <f>IF(#REF!,"AAAAAG9/jXk=",0)</f>
        <v>#REF!</v>
      </c>
      <c r="DS64" t="e">
        <f>AND(#REF!,"AAAAAG9/jXo=")</f>
        <v>#REF!</v>
      </c>
      <c r="DT64" t="e">
        <f>AND(#REF!,"AAAAAG9/jXs=")</f>
        <v>#REF!</v>
      </c>
      <c r="DU64" t="e">
        <f>AND(#REF!,"AAAAAG9/jXw=")</f>
        <v>#REF!</v>
      </c>
      <c r="DV64" t="e">
        <f>AND(#REF!,"AAAAAG9/jX0=")</f>
        <v>#REF!</v>
      </c>
      <c r="DW64" t="e">
        <f>AND(#REF!,"AAAAAG9/jX4=")</f>
        <v>#REF!</v>
      </c>
      <c r="DX64" t="e">
        <f>AND(#REF!,"AAAAAG9/jX8=")</f>
        <v>#REF!</v>
      </c>
      <c r="DY64" t="e">
        <f>AND(#REF!,"AAAAAG9/jYA=")</f>
        <v>#REF!</v>
      </c>
      <c r="DZ64" t="e">
        <f>AND(#REF!,"AAAAAG9/jYE=")</f>
        <v>#REF!</v>
      </c>
      <c r="EA64" t="e">
        <f>AND(#REF!,"AAAAAG9/jYI=")</f>
        <v>#REF!</v>
      </c>
      <c r="EB64" t="e">
        <f>AND(#REF!,"AAAAAG9/jYM=")</f>
        <v>#REF!</v>
      </c>
      <c r="EC64" t="e">
        <f>AND(#REF!,"AAAAAG9/jYQ=")</f>
        <v>#REF!</v>
      </c>
      <c r="ED64" t="e">
        <f>AND(#REF!,"AAAAAG9/jYU=")</f>
        <v>#REF!</v>
      </c>
      <c r="EE64" t="e">
        <f>AND(#REF!,"AAAAAG9/jYY=")</f>
        <v>#REF!</v>
      </c>
      <c r="EF64" t="e">
        <f>AND(#REF!,"AAAAAG9/jYc=")</f>
        <v>#REF!</v>
      </c>
      <c r="EG64" t="e">
        <f>AND(#REF!,"AAAAAG9/jYg=")</f>
        <v>#REF!</v>
      </c>
      <c r="EH64" t="e">
        <f>AND(#REF!,"AAAAAG9/jYk=")</f>
        <v>#REF!</v>
      </c>
      <c r="EI64" t="e">
        <f>IF(#REF!,"AAAAAG9/jYo=",0)</f>
        <v>#REF!</v>
      </c>
      <c r="EJ64" t="e">
        <f>AND(#REF!,"AAAAAG9/jYs=")</f>
        <v>#REF!</v>
      </c>
      <c r="EK64" t="e">
        <f>AND(#REF!,"AAAAAG9/jYw=")</f>
        <v>#REF!</v>
      </c>
      <c r="EL64" t="e">
        <f>AND(#REF!,"AAAAAG9/jY0=")</f>
        <v>#REF!</v>
      </c>
      <c r="EM64" t="e">
        <f>AND(#REF!,"AAAAAG9/jY4=")</f>
        <v>#REF!</v>
      </c>
      <c r="EN64" t="e">
        <f>AND(#REF!,"AAAAAG9/jY8=")</f>
        <v>#REF!</v>
      </c>
      <c r="EO64" t="e">
        <f>AND(#REF!,"AAAAAG9/jZA=")</f>
        <v>#REF!</v>
      </c>
      <c r="EP64" t="e">
        <f>AND(#REF!,"AAAAAG9/jZE=")</f>
        <v>#REF!</v>
      </c>
      <c r="EQ64" t="e">
        <f>AND(#REF!,"AAAAAG9/jZI=")</f>
        <v>#REF!</v>
      </c>
      <c r="ER64" t="e">
        <f>AND(#REF!,"AAAAAG9/jZM=")</f>
        <v>#REF!</v>
      </c>
      <c r="ES64" t="e">
        <f>AND(#REF!,"AAAAAG9/jZQ=")</f>
        <v>#REF!</v>
      </c>
      <c r="ET64" t="e">
        <f>AND(#REF!,"AAAAAG9/jZU=")</f>
        <v>#REF!</v>
      </c>
      <c r="EU64" t="e">
        <f>AND(#REF!,"AAAAAG9/jZY=")</f>
        <v>#REF!</v>
      </c>
      <c r="EV64" t="e">
        <f>AND(#REF!,"AAAAAG9/jZc=")</f>
        <v>#REF!</v>
      </c>
      <c r="EW64" t="e">
        <f>AND(#REF!,"AAAAAG9/jZg=")</f>
        <v>#REF!</v>
      </c>
      <c r="EX64" t="e">
        <f>AND(#REF!,"AAAAAG9/jZk=")</f>
        <v>#REF!</v>
      </c>
      <c r="EY64" t="e">
        <f>AND(#REF!,"AAAAAG9/jZo=")</f>
        <v>#REF!</v>
      </c>
      <c r="EZ64" t="e">
        <f>IF(#REF!,"AAAAAG9/jZs=",0)</f>
        <v>#REF!</v>
      </c>
      <c r="FA64" t="e">
        <f>AND(#REF!,"AAAAAG9/jZw=")</f>
        <v>#REF!</v>
      </c>
      <c r="FB64" t="e">
        <f>AND(#REF!,"AAAAAG9/jZ0=")</f>
        <v>#REF!</v>
      </c>
      <c r="FC64" t="e">
        <f>AND(#REF!,"AAAAAG9/jZ4=")</f>
        <v>#REF!</v>
      </c>
      <c r="FD64" t="e">
        <f>AND(#REF!,"AAAAAG9/jZ8=")</f>
        <v>#REF!</v>
      </c>
      <c r="FE64" t="e">
        <f>AND(#REF!,"AAAAAG9/jaA=")</f>
        <v>#REF!</v>
      </c>
      <c r="FF64" t="e">
        <f>AND(#REF!,"AAAAAG9/jaE=")</f>
        <v>#REF!</v>
      </c>
      <c r="FG64" t="e">
        <f>AND(#REF!,"AAAAAG9/jaI=")</f>
        <v>#REF!</v>
      </c>
      <c r="FH64" t="e">
        <f>AND(#REF!,"AAAAAG9/jaM=")</f>
        <v>#REF!</v>
      </c>
      <c r="FI64" t="e">
        <f>AND(#REF!,"AAAAAG9/jaQ=")</f>
        <v>#REF!</v>
      </c>
      <c r="FJ64" t="e">
        <f>AND(#REF!,"AAAAAG9/jaU=")</f>
        <v>#REF!</v>
      </c>
      <c r="FK64" t="e">
        <f>AND(#REF!,"AAAAAG9/jaY=")</f>
        <v>#REF!</v>
      </c>
      <c r="FL64" t="e">
        <f>AND(#REF!,"AAAAAG9/jac=")</f>
        <v>#REF!</v>
      </c>
      <c r="FM64" t="e">
        <f>AND(#REF!,"AAAAAG9/jag=")</f>
        <v>#REF!</v>
      </c>
      <c r="FN64" t="e">
        <f>AND(#REF!,"AAAAAG9/jak=")</f>
        <v>#REF!</v>
      </c>
      <c r="FO64" t="e">
        <f>AND(#REF!,"AAAAAG9/jao=")</f>
        <v>#REF!</v>
      </c>
      <c r="FP64" t="e">
        <f>AND(#REF!,"AAAAAG9/jas=")</f>
        <v>#REF!</v>
      </c>
      <c r="FQ64" t="e">
        <f>IF(#REF!,"AAAAAG9/jaw=",0)</f>
        <v>#REF!</v>
      </c>
      <c r="FR64" t="e">
        <f>AND(#REF!,"AAAAAG9/ja0=")</f>
        <v>#REF!</v>
      </c>
      <c r="FS64" t="e">
        <f>AND(#REF!,"AAAAAG9/ja4=")</f>
        <v>#REF!</v>
      </c>
      <c r="FT64" t="e">
        <f>AND(#REF!,"AAAAAG9/ja8=")</f>
        <v>#REF!</v>
      </c>
      <c r="FU64" t="e">
        <f>AND(#REF!,"AAAAAG9/jbA=")</f>
        <v>#REF!</v>
      </c>
      <c r="FV64" t="e">
        <f>AND(#REF!,"AAAAAG9/jbE=")</f>
        <v>#REF!</v>
      </c>
      <c r="FW64" t="e">
        <f>AND(#REF!,"AAAAAG9/jbI=")</f>
        <v>#REF!</v>
      </c>
      <c r="FX64" t="e">
        <f>AND(#REF!,"AAAAAG9/jbM=")</f>
        <v>#REF!</v>
      </c>
      <c r="FY64" t="e">
        <f>AND(#REF!,"AAAAAG9/jbQ=")</f>
        <v>#REF!</v>
      </c>
      <c r="FZ64" t="e">
        <f>AND(#REF!,"AAAAAG9/jbU=")</f>
        <v>#REF!</v>
      </c>
      <c r="GA64" t="e">
        <f>AND(#REF!,"AAAAAG9/jbY=")</f>
        <v>#REF!</v>
      </c>
      <c r="GB64" t="e">
        <f>AND(#REF!,"AAAAAG9/jbc=")</f>
        <v>#REF!</v>
      </c>
      <c r="GC64" t="e">
        <f>AND(#REF!,"AAAAAG9/jbg=")</f>
        <v>#REF!</v>
      </c>
      <c r="GD64" t="e">
        <f>AND(#REF!,"AAAAAG9/jbk=")</f>
        <v>#REF!</v>
      </c>
      <c r="GE64" t="e">
        <f>AND(#REF!,"AAAAAG9/jbo=")</f>
        <v>#REF!</v>
      </c>
      <c r="GF64" t="e">
        <f>AND(#REF!,"AAAAAG9/jbs=")</f>
        <v>#REF!</v>
      </c>
      <c r="GG64" t="e">
        <f>AND(#REF!,"AAAAAG9/jbw=")</f>
        <v>#REF!</v>
      </c>
      <c r="GH64" t="e">
        <f>IF(#REF!,"AAAAAG9/jb0=",0)</f>
        <v>#REF!</v>
      </c>
      <c r="GI64" t="e">
        <f>AND(#REF!,"AAAAAG9/jb4=")</f>
        <v>#REF!</v>
      </c>
      <c r="GJ64" t="e">
        <f>AND(#REF!,"AAAAAG9/jb8=")</f>
        <v>#REF!</v>
      </c>
      <c r="GK64" t="e">
        <f>AND(#REF!,"AAAAAG9/jcA=")</f>
        <v>#REF!</v>
      </c>
      <c r="GL64" t="e">
        <f>AND(#REF!,"AAAAAG9/jcE=")</f>
        <v>#REF!</v>
      </c>
      <c r="GM64" t="e">
        <f>AND(#REF!,"AAAAAG9/jcI=")</f>
        <v>#REF!</v>
      </c>
      <c r="GN64" t="e">
        <f>AND(#REF!,"AAAAAG9/jcM=")</f>
        <v>#REF!</v>
      </c>
      <c r="GO64" t="e">
        <f>AND(#REF!,"AAAAAG9/jcQ=")</f>
        <v>#REF!</v>
      </c>
      <c r="GP64" t="e">
        <f>AND(#REF!,"AAAAAG9/jcU=")</f>
        <v>#REF!</v>
      </c>
      <c r="GQ64" t="e">
        <f>AND(#REF!,"AAAAAG9/jcY=")</f>
        <v>#REF!</v>
      </c>
      <c r="GR64" t="e">
        <f>AND(#REF!,"AAAAAG9/jcc=")</f>
        <v>#REF!</v>
      </c>
      <c r="GS64" t="e">
        <f>AND(#REF!,"AAAAAG9/jcg=")</f>
        <v>#REF!</v>
      </c>
      <c r="GT64" t="e">
        <f>AND(#REF!,"AAAAAG9/jck=")</f>
        <v>#REF!</v>
      </c>
      <c r="GU64" t="e">
        <f>AND(#REF!,"AAAAAG9/jco=")</f>
        <v>#REF!</v>
      </c>
      <c r="GV64" t="e">
        <f>AND(#REF!,"AAAAAG9/jcs=")</f>
        <v>#REF!</v>
      </c>
      <c r="GW64" t="e">
        <f>AND(#REF!,"AAAAAG9/jcw=")</f>
        <v>#REF!</v>
      </c>
      <c r="GX64" t="e">
        <f>AND(#REF!,"AAAAAG9/jc0=")</f>
        <v>#REF!</v>
      </c>
      <c r="GY64" t="e">
        <f>IF(#REF!,"AAAAAG9/jc4=",0)</f>
        <v>#REF!</v>
      </c>
      <c r="GZ64" t="e">
        <f>AND(#REF!,"AAAAAG9/jc8=")</f>
        <v>#REF!</v>
      </c>
      <c r="HA64" t="e">
        <f>AND(#REF!,"AAAAAG9/jdA=")</f>
        <v>#REF!</v>
      </c>
      <c r="HB64" t="e">
        <f>AND(#REF!,"AAAAAG9/jdE=")</f>
        <v>#REF!</v>
      </c>
      <c r="HC64" t="e">
        <f>AND(#REF!,"AAAAAG9/jdI=")</f>
        <v>#REF!</v>
      </c>
      <c r="HD64" t="e">
        <f>AND(#REF!,"AAAAAG9/jdM=")</f>
        <v>#REF!</v>
      </c>
      <c r="HE64" t="e">
        <f>AND(#REF!,"AAAAAG9/jdQ=")</f>
        <v>#REF!</v>
      </c>
      <c r="HF64" t="e">
        <f>AND(#REF!,"AAAAAG9/jdU=")</f>
        <v>#REF!</v>
      </c>
      <c r="HG64" t="e">
        <f>AND(#REF!,"AAAAAG9/jdY=")</f>
        <v>#REF!</v>
      </c>
      <c r="HH64" t="e">
        <f>AND(#REF!,"AAAAAG9/jdc=")</f>
        <v>#REF!</v>
      </c>
      <c r="HI64" t="e">
        <f>AND(#REF!,"AAAAAG9/jdg=")</f>
        <v>#REF!</v>
      </c>
      <c r="HJ64" t="e">
        <f>AND(#REF!,"AAAAAG9/jdk=")</f>
        <v>#REF!</v>
      </c>
      <c r="HK64" t="e">
        <f>AND(#REF!,"AAAAAG9/jdo=")</f>
        <v>#REF!</v>
      </c>
      <c r="HL64" t="e">
        <f>AND(#REF!,"AAAAAG9/jds=")</f>
        <v>#REF!</v>
      </c>
      <c r="HM64" t="e">
        <f>AND(#REF!,"AAAAAG9/jdw=")</f>
        <v>#REF!</v>
      </c>
      <c r="HN64" t="e">
        <f>AND(#REF!,"AAAAAG9/jd0=")</f>
        <v>#REF!</v>
      </c>
      <c r="HO64" t="e">
        <f>AND(#REF!,"AAAAAG9/jd4=")</f>
        <v>#REF!</v>
      </c>
      <c r="HP64" t="e">
        <f>IF(#REF!,"AAAAAG9/jd8=",0)</f>
        <v>#REF!</v>
      </c>
      <c r="HQ64" t="e">
        <f>AND(#REF!,"AAAAAG9/jeA=")</f>
        <v>#REF!</v>
      </c>
      <c r="HR64" t="e">
        <f>AND(#REF!,"AAAAAG9/jeE=")</f>
        <v>#REF!</v>
      </c>
      <c r="HS64" t="e">
        <f>AND(#REF!,"AAAAAG9/jeI=")</f>
        <v>#REF!</v>
      </c>
      <c r="HT64" t="e">
        <f>AND(#REF!,"AAAAAG9/jeM=")</f>
        <v>#REF!</v>
      </c>
      <c r="HU64" t="e">
        <f>AND(#REF!,"AAAAAG9/jeQ=")</f>
        <v>#REF!</v>
      </c>
      <c r="HV64" t="e">
        <f>AND(#REF!,"AAAAAG9/jeU=")</f>
        <v>#REF!</v>
      </c>
      <c r="HW64" t="e">
        <f>AND(#REF!,"AAAAAG9/jeY=")</f>
        <v>#REF!</v>
      </c>
      <c r="HX64" t="e">
        <f>AND(#REF!,"AAAAAG9/jec=")</f>
        <v>#REF!</v>
      </c>
      <c r="HY64" t="e">
        <f>AND(#REF!,"AAAAAG9/jeg=")</f>
        <v>#REF!</v>
      </c>
      <c r="HZ64" t="e">
        <f>AND(#REF!,"AAAAAG9/jek=")</f>
        <v>#REF!</v>
      </c>
      <c r="IA64" t="e">
        <f>AND(#REF!,"AAAAAG9/jeo=")</f>
        <v>#REF!</v>
      </c>
      <c r="IB64" t="e">
        <f>AND(#REF!,"AAAAAG9/jes=")</f>
        <v>#REF!</v>
      </c>
      <c r="IC64" t="e">
        <f>AND(#REF!,"AAAAAG9/jew=")</f>
        <v>#REF!</v>
      </c>
      <c r="ID64" t="e">
        <f>AND(#REF!,"AAAAAG9/je0=")</f>
        <v>#REF!</v>
      </c>
      <c r="IE64" t="e">
        <f>AND(#REF!,"AAAAAG9/je4=")</f>
        <v>#REF!</v>
      </c>
      <c r="IF64" t="e">
        <f>AND(#REF!,"AAAAAG9/je8=")</f>
        <v>#REF!</v>
      </c>
      <c r="IG64" t="e">
        <f>IF(#REF!,"AAAAAG9/jfA=",0)</f>
        <v>#REF!</v>
      </c>
      <c r="IH64" t="e">
        <f>AND(#REF!,"AAAAAG9/jfE=")</f>
        <v>#REF!</v>
      </c>
      <c r="II64" t="e">
        <f>AND(#REF!,"AAAAAG9/jfI=")</f>
        <v>#REF!</v>
      </c>
      <c r="IJ64" t="e">
        <f>AND(#REF!,"AAAAAG9/jfM=")</f>
        <v>#REF!</v>
      </c>
      <c r="IK64" t="e">
        <f>AND(#REF!,"AAAAAG9/jfQ=")</f>
        <v>#REF!</v>
      </c>
      <c r="IL64" t="e">
        <f>AND(#REF!,"AAAAAG9/jfU=")</f>
        <v>#REF!</v>
      </c>
      <c r="IM64" t="e">
        <f>AND(#REF!,"AAAAAG9/jfY=")</f>
        <v>#REF!</v>
      </c>
      <c r="IN64" t="e">
        <f>AND(#REF!,"AAAAAG9/jfc=")</f>
        <v>#REF!</v>
      </c>
      <c r="IO64" t="e">
        <f>AND(#REF!,"AAAAAG9/jfg=")</f>
        <v>#REF!</v>
      </c>
      <c r="IP64" t="e">
        <f>AND(#REF!,"AAAAAG9/jfk=")</f>
        <v>#REF!</v>
      </c>
      <c r="IQ64" t="e">
        <f>AND(#REF!,"AAAAAG9/jfo=")</f>
        <v>#REF!</v>
      </c>
      <c r="IR64" t="e">
        <f>AND(#REF!,"AAAAAG9/jfs=")</f>
        <v>#REF!</v>
      </c>
      <c r="IS64" t="e">
        <f>AND(#REF!,"AAAAAG9/jfw=")</f>
        <v>#REF!</v>
      </c>
      <c r="IT64" t="e">
        <f>AND(#REF!,"AAAAAG9/jf0=")</f>
        <v>#REF!</v>
      </c>
      <c r="IU64" t="e">
        <f>AND(#REF!,"AAAAAG9/jf4=")</f>
        <v>#REF!</v>
      </c>
      <c r="IV64" t="e">
        <f>AND(#REF!,"AAAAAG9/jf8=")</f>
        <v>#REF!</v>
      </c>
    </row>
    <row r="65" spans="1:256" x14ac:dyDescent="0.25">
      <c r="A65" t="e">
        <f>AND(#REF!,"AAAAAHPK/wA=")</f>
        <v>#REF!</v>
      </c>
      <c r="B65" t="e">
        <f>IF(#REF!,"AAAAAHPK/wE=",0)</f>
        <v>#REF!</v>
      </c>
      <c r="C65" t="e">
        <f>AND(#REF!,"AAAAAHPK/wI=")</f>
        <v>#REF!</v>
      </c>
      <c r="D65" t="e">
        <f>AND(#REF!,"AAAAAHPK/wM=")</f>
        <v>#REF!</v>
      </c>
      <c r="E65" t="e">
        <f>AND(#REF!,"AAAAAHPK/wQ=")</f>
        <v>#REF!</v>
      </c>
      <c r="F65" t="e">
        <f>AND(#REF!,"AAAAAHPK/wU=")</f>
        <v>#REF!</v>
      </c>
      <c r="G65" t="e">
        <f>AND(#REF!,"AAAAAHPK/wY=")</f>
        <v>#REF!</v>
      </c>
      <c r="H65" t="e">
        <f>AND(#REF!,"AAAAAHPK/wc=")</f>
        <v>#REF!</v>
      </c>
      <c r="I65" t="e">
        <f>AND(#REF!,"AAAAAHPK/wg=")</f>
        <v>#REF!</v>
      </c>
      <c r="J65" t="e">
        <f>AND(#REF!,"AAAAAHPK/wk=")</f>
        <v>#REF!</v>
      </c>
      <c r="K65" t="e">
        <f>AND(#REF!,"AAAAAHPK/wo=")</f>
        <v>#REF!</v>
      </c>
      <c r="L65" t="e">
        <f>AND(#REF!,"AAAAAHPK/ws=")</f>
        <v>#REF!</v>
      </c>
      <c r="M65" t="e">
        <f>AND(#REF!,"AAAAAHPK/ww=")</f>
        <v>#REF!</v>
      </c>
      <c r="N65" t="e">
        <f>AND(#REF!,"AAAAAHPK/w0=")</f>
        <v>#REF!</v>
      </c>
      <c r="O65" t="e">
        <f>AND(#REF!,"AAAAAHPK/w4=")</f>
        <v>#REF!</v>
      </c>
      <c r="P65" t="e">
        <f>AND(#REF!,"AAAAAHPK/w8=")</f>
        <v>#REF!</v>
      </c>
      <c r="Q65" t="e">
        <f>AND(#REF!,"AAAAAHPK/xA=")</f>
        <v>#REF!</v>
      </c>
      <c r="R65" t="e">
        <f>AND(#REF!,"AAAAAHPK/xE=")</f>
        <v>#REF!</v>
      </c>
      <c r="S65" t="e">
        <f>IF(#REF!,"AAAAAHPK/xI=",0)</f>
        <v>#REF!</v>
      </c>
      <c r="T65" t="e">
        <f>AND(#REF!,"AAAAAHPK/xM=")</f>
        <v>#REF!</v>
      </c>
      <c r="U65" t="e">
        <f>AND(#REF!,"AAAAAHPK/xQ=")</f>
        <v>#REF!</v>
      </c>
      <c r="V65" t="e">
        <f>AND(#REF!,"AAAAAHPK/xU=")</f>
        <v>#REF!</v>
      </c>
      <c r="W65" t="e">
        <f>AND(#REF!,"AAAAAHPK/xY=")</f>
        <v>#REF!</v>
      </c>
      <c r="X65" t="e">
        <f>AND(#REF!,"AAAAAHPK/xc=")</f>
        <v>#REF!</v>
      </c>
      <c r="Y65" t="e">
        <f>AND(#REF!,"AAAAAHPK/xg=")</f>
        <v>#REF!</v>
      </c>
      <c r="Z65" t="e">
        <f>AND(#REF!,"AAAAAHPK/xk=")</f>
        <v>#REF!</v>
      </c>
      <c r="AA65" t="e">
        <f>AND(#REF!,"AAAAAHPK/xo=")</f>
        <v>#REF!</v>
      </c>
      <c r="AB65" t="e">
        <f>AND(#REF!,"AAAAAHPK/xs=")</f>
        <v>#REF!</v>
      </c>
      <c r="AC65" t="e">
        <f>AND(#REF!,"AAAAAHPK/xw=")</f>
        <v>#REF!</v>
      </c>
      <c r="AD65" t="e">
        <f>AND(#REF!,"AAAAAHPK/x0=")</f>
        <v>#REF!</v>
      </c>
      <c r="AE65" t="e">
        <f>AND(#REF!,"AAAAAHPK/x4=")</f>
        <v>#REF!</v>
      </c>
      <c r="AF65" t="e">
        <f>AND(#REF!,"AAAAAHPK/x8=")</f>
        <v>#REF!</v>
      </c>
      <c r="AG65" t="e">
        <f>AND(#REF!,"AAAAAHPK/yA=")</f>
        <v>#REF!</v>
      </c>
      <c r="AH65" t="e">
        <f>AND(#REF!,"AAAAAHPK/yE=")</f>
        <v>#REF!</v>
      </c>
      <c r="AI65" t="e">
        <f>AND(#REF!,"AAAAAHPK/yI=")</f>
        <v>#REF!</v>
      </c>
      <c r="AJ65" t="e">
        <f>IF(#REF!,"AAAAAHPK/yM=",0)</f>
        <v>#REF!</v>
      </c>
      <c r="AK65" t="e">
        <f>AND(#REF!,"AAAAAHPK/yQ=")</f>
        <v>#REF!</v>
      </c>
      <c r="AL65" t="e">
        <f>AND(#REF!,"AAAAAHPK/yU=")</f>
        <v>#REF!</v>
      </c>
      <c r="AM65" t="e">
        <f>AND(#REF!,"AAAAAHPK/yY=")</f>
        <v>#REF!</v>
      </c>
      <c r="AN65" t="e">
        <f>AND(#REF!,"AAAAAHPK/yc=")</f>
        <v>#REF!</v>
      </c>
      <c r="AO65" t="e">
        <f>AND(#REF!,"AAAAAHPK/yg=")</f>
        <v>#REF!</v>
      </c>
      <c r="AP65" t="e">
        <f>AND(#REF!,"AAAAAHPK/yk=")</f>
        <v>#REF!</v>
      </c>
      <c r="AQ65" t="e">
        <f>AND(#REF!,"AAAAAHPK/yo=")</f>
        <v>#REF!</v>
      </c>
      <c r="AR65" t="e">
        <f>AND(#REF!,"AAAAAHPK/ys=")</f>
        <v>#REF!</v>
      </c>
      <c r="AS65" t="e">
        <f>AND(#REF!,"AAAAAHPK/yw=")</f>
        <v>#REF!</v>
      </c>
      <c r="AT65" t="e">
        <f>AND(#REF!,"AAAAAHPK/y0=")</f>
        <v>#REF!</v>
      </c>
      <c r="AU65" t="e">
        <f>AND(#REF!,"AAAAAHPK/y4=")</f>
        <v>#REF!</v>
      </c>
      <c r="AV65" t="e">
        <f>AND(#REF!,"AAAAAHPK/y8=")</f>
        <v>#REF!</v>
      </c>
      <c r="AW65" t="e">
        <f>AND(#REF!,"AAAAAHPK/zA=")</f>
        <v>#REF!</v>
      </c>
      <c r="AX65" t="e">
        <f>AND(#REF!,"AAAAAHPK/zE=")</f>
        <v>#REF!</v>
      </c>
      <c r="AY65" t="e">
        <f>AND(#REF!,"AAAAAHPK/zI=")</f>
        <v>#REF!</v>
      </c>
      <c r="AZ65" t="e">
        <f>AND(#REF!,"AAAAAHPK/zM=")</f>
        <v>#REF!</v>
      </c>
      <c r="BA65" t="e">
        <f>IF(#REF!,"AAAAAHPK/zQ=",0)</f>
        <v>#REF!</v>
      </c>
      <c r="BB65" t="e">
        <f>AND(#REF!,"AAAAAHPK/zU=")</f>
        <v>#REF!</v>
      </c>
      <c r="BC65" t="e">
        <f>AND(#REF!,"AAAAAHPK/zY=")</f>
        <v>#REF!</v>
      </c>
      <c r="BD65" t="e">
        <f>AND(#REF!,"AAAAAHPK/zc=")</f>
        <v>#REF!</v>
      </c>
      <c r="BE65" t="e">
        <f>AND(#REF!,"AAAAAHPK/zg=")</f>
        <v>#REF!</v>
      </c>
      <c r="BF65" t="e">
        <f>AND(#REF!,"AAAAAHPK/zk=")</f>
        <v>#REF!</v>
      </c>
      <c r="BG65" t="e">
        <f>AND(#REF!,"AAAAAHPK/zo=")</f>
        <v>#REF!</v>
      </c>
      <c r="BH65" t="e">
        <f>AND(#REF!,"AAAAAHPK/zs=")</f>
        <v>#REF!</v>
      </c>
      <c r="BI65" t="e">
        <f>AND(#REF!,"AAAAAHPK/zw=")</f>
        <v>#REF!</v>
      </c>
      <c r="BJ65" t="e">
        <f>AND(#REF!,"AAAAAHPK/z0=")</f>
        <v>#REF!</v>
      </c>
      <c r="BK65" t="e">
        <f>AND(#REF!,"AAAAAHPK/z4=")</f>
        <v>#REF!</v>
      </c>
      <c r="BL65" t="e">
        <f>AND(#REF!,"AAAAAHPK/z8=")</f>
        <v>#REF!</v>
      </c>
      <c r="BM65" t="e">
        <f>AND(#REF!,"AAAAAHPK/0A=")</f>
        <v>#REF!</v>
      </c>
      <c r="BN65" t="e">
        <f>AND(#REF!,"AAAAAHPK/0E=")</f>
        <v>#REF!</v>
      </c>
      <c r="BO65" t="e">
        <f>AND(#REF!,"AAAAAHPK/0I=")</f>
        <v>#REF!</v>
      </c>
      <c r="BP65" t="e">
        <f>AND(#REF!,"AAAAAHPK/0M=")</f>
        <v>#REF!</v>
      </c>
      <c r="BQ65" t="e">
        <f>AND(#REF!,"AAAAAHPK/0Q=")</f>
        <v>#REF!</v>
      </c>
      <c r="BR65" t="e">
        <f>IF(#REF!,"AAAAAHPK/0U=",0)</f>
        <v>#REF!</v>
      </c>
      <c r="BS65" t="e">
        <f>AND(#REF!,"AAAAAHPK/0Y=")</f>
        <v>#REF!</v>
      </c>
      <c r="BT65" t="e">
        <f>AND(#REF!,"AAAAAHPK/0c=")</f>
        <v>#REF!</v>
      </c>
      <c r="BU65" t="e">
        <f>AND(#REF!,"AAAAAHPK/0g=")</f>
        <v>#REF!</v>
      </c>
      <c r="BV65" t="e">
        <f>AND(#REF!,"AAAAAHPK/0k=")</f>
        <v>#REF!</v>
      </c>
      <c r="BW65" t="e">
        <f>AND(#REF!,"AAAAAHPK/0o=")</f>
        <v>#REF!</v>
      </c>
      <c r="BX65" t="e">
        <f>AND(#REF!,"AAAAAHPK/0s=")</f>
        <v>#REF!</v>
      </c>
      <c r="BY65" t="e">
        <f>AND(#REF!,"AAAAAHPK/0w=")</f>
        <v>#REF!</v>
      </c>
      <c r="BZ65" t="e">
        <f>AND(#REF!,"AAAAAHPK/00=")</f>
        <v>#REF!</v>
      </c>
      <c r="CA65" t="e">
        <f>AND(#REF!,"AAAAAHPK/04=")</f>
        <v>#REF!</v>
      </c>
      <c r="CB65" t="e">
        <f>AND(#REF!,"AAAAAHPK/08=")</f>
        <v>#REF!</v>
      </c>
      <c r="CC65" t="e">
        <f>AND(#REF!,"AAAAAHPK/1A=")</f>
        <v>#REF!</v>
      </c>
      <c r="CD65" t="e">
        <f>AND(#REF!,"AAAAAHPK/1E=")</f>
        <v>#REF!</v>
      </c>
      <c r="CE65" t="e">
        <f>AND(#REF!,"AAAAAHPK/1I=")</f>
        <v>#REF!</v>
      </c>
      <c r="CF65" t="e">
        <f>AND(#REF!,"AAAAAHPK/1M=")</f>
        <v>#REF!</v>
      </c>
      <c r="CG65" t="e">
        <f>AND(#REF!,"AAAAAHPK/1Q=")</f>
        <v>#REF!</v>
      </c>
      <c r="CH65" t="e">
        <f>AND(#REF!,"AAAAAHPK/1U=")</f>
        <v>#REF!</v>
      </c>
      <c r="CI65" t="e">
        <f>IF(#REF!,"AAAAAHPK/1Y=",0)</f>
        <v>#REF!</v>
      </c>
      <c r="CJ65" t="e">
        <f>AND(#REF!,"AAAAAHPK/1c=")</f>
        <v>#REF!</v>
      </c>
      <c r="CK65" t="e">
        <f>AND(#REF!,"AAAAAHPK/1g=")</f>
        <v>#REF!</v>
      </c>
      <c r="CL65" t="e">
        <f>AND(#REF!,"AAAAAHPK/1k=")</f>
        <v>#REF!</v>
      </c>
      <c r="CM65" t="e">
        <f>AND(#REF!,"AAAAAHPK/1o=")</f>
        <v>#REF!</v>
      </c>
      <c r="CN65" t="e">
        <f>AND(#REF!,"AAAAAHPK/1s=")</f>
        <v>#REF!</v>
      </c>
      <c r="CO65" t="e">
        <f>AND(#REF!,"AAAAAHPK/1w=")</f>
        <v>#REF!</v>
      </c>
      <c r="CP65" t="e">
        <f>AND(#REF!,"AAAAAHPK/10=")</f>
        <v>#REF!</v>
      </c>
      <c r="CQ65" t="e">
        <f>AND(#REF!,"AAAAAHPK/14=")</f>
        <v>#REF!</v>
      </c>
      <c r="CR65" t="e">
        <f>AND(#REF!,"AAAAAHPK/18=")</f>
        <v>#REF!</v>
      </c>
      <c r="CS65" t="e">
        <f>AND(#REF!,"AAAAAHPK/2A=")</f>
        <v>#REF!</v>
      </c>
      <c r="CT65" t="e">
        <f>AND(#REF!,"AAAAAHPK/2E=")</f>
        <v>#REF!</v>
      </c>
      <c r="CU65" t="e">
        <f>AND(#REF!,"AAAAAHPK/2I=")</f>
        <v>#REF!</v>
      </c>
      <c r="CV65" t="e">
        <f>AND(#REF!,"AAAAAHPK/2M=")</f>
        <v>#REF!</v>
      </c>
      <c r="CW65" t="e">
        <f>AND(#REF!,"AAAAAHPK/2Q=")</f>
        <v>#REF!</v>
      </c>
      <c r="CX65" t="e">
        <f>AND(#REF!,"AAAAAHPK/2U=")</f>
        <v>#REF!</v>
      </c>
      <c r="CY65" t="e">
        <f>AND(#REF!,"AAAAAHPK/2Y=")</f>
        <v>#REF!</v>
      </c>
      <c r="CZ65" t="e">
        <f>IF(#REF!,"AAAAAHPK/2c=",0)</f>
        <v>#REF!</v>
      </c>
      <c r="DA65" t="e">
        <f>AND(#REF!,"AAAAAHPK/2g=")</f>
        <v>#REF!</v>
      </c>
      <c r="DB65" t="e">
        <f>AND(#REF!,"AAAAAHPK/2k=")</f>
        <v>#REF!</v>
      </c>
      <c r="DC65" t="e">
        <f>AND(#REF!,"AAAAAHPK/2o=")</f>
        <v>#REF!</v>
      </c>
      <c r="DD65" t="e">
        <f>AND(#REF!,"AAAAAHPK/2s=")</f>
        <v>#REF!</v>
      </c>
      <c r="DE65" t="e">
        <f>AND(#REF!,"AAAAAHPK/2w=")</f>
        <v>#REF!</v>
      </c>
      <c r="DF65" t="e">
        <f>AND(#REF!,"AAAAAHPK/20=")</f>
        <v>#REF!</v>
      </c>
      <c r="DG65" t="e">
        <f>AND(#REF!,"AAAAAHPK/24=")</f>
        <v>#REF!</v>
      </c>
      <c r="DH65" t="e">
        <f>AND(#REF!,"AAAAAHPK/28=")</f>
        <v>#REF!</v>
      </c>
      <c r="DI65" t="e">
        <f>AND(#REF!,"AAAAAHPK/3A=")</f>
        <v>#REF!</v>
      </c>
      <c r="DJ65" t="e">
        <f>AND(#REF!,"AAAAAHPK/3E=")</f>
        <v>#REF!</v>
      </c>
      <c r="DK65" t="e">
        <f>AND(#REF!,"AAAAAHPK/3I=")</f>
        <v>#REF!</v>
      </c>
      <c r="DL65" t="e">
        <f>AND(#REF!,"AAAAAHPK/3M=")</f>
        <v>#REF!</v>
      </c>
      <c r="DM65" t="e">
        <f>AND(#REF!,"AAAAAHPK/3Q=")</f>
        <v>#REF!</v>
      </c>
      <c r="DN65" t="e">
        <f>AND(#REF!,"AAAAAHPK/3U=")</f>
        <v>#REF!</v>
      </c>
      <c r="DO65" t="e">
        <f>AND(#REF!,"AAAAAHPK/3Y=")</f>
        <v>#REF!</v>
      </c>
      <c r="DP65" t="e">
        <f>AND(#REF!,"AAAAAHPK/3c=")</f>
        <v>#REF!</v>
      </c>
      <c r="DQ65" t="e">
        <f>IF(#REF!,"AAAAAHPK/3g=",0)</f>
        <v>#REF!</v>
      </c>
      <c r="DR65" t="e">
        <f>AND(#REF!,"AAAAAHPK/3k=")</f>
        <v>#REF!</v>
      </c>
      <c r="DS65" t="e">
        <f>AND(#REF!,"AAAAAHPK/3o=")</f>
        <v>#REF!</v>
      </c>
      <c r="DT65" t="e">
        <f>AND(#REF!,"AAAAAHPK/3s=")</f>
        <v>#REF!</v>
      </c>
      <c r="DU65" t="e">
        <f>AND(#REF!,"AAAAAHPK/3w=")</f>
        <v>#REF!</v>
      </c>
      <c r="DV65" t="e">
        <f>AND(#REF!,"AAAAAHPK/30=")</f>
        <v>#REF!</v>
      </c>
      <c r="DW65" t="e">
        <f>AND(#REF!,"AAAAAHPK/34=")</f>
        <v>#REF!</v>
      </c>
      <c r="DX65" t="e">
        <f>AND(#REF!,"AAAAAHPK/38=")</f>
        <v>#REF!</v>
      </c>
      <c r="DY65" t="e">
        <f>AND(#REF!,"AAAAAHPK/4A=")</f>
        <v>#REF!</v>
      </c>
      <c r="DZ65" t="e">
        <f>AND(#REF!,"AAAAAHPK/4E=")</f>
        <v>#REF!</v>
      </c>
      <c r="EA65" t="e">
        <f>AND(#REF!,"AAAAAHPK/4I=")</f>
        <v>#REF!</v>
      </c>
      <c r="EB65" t="e">
        <f>AND(#REF!,"AAAAAHPK/4M=")</f>
        <v>#REF!</v>
      </c>
      <c r="EC65" t="e">
        <f>AND(#REF!,"AAAAAHPK/4Q=")</f>
        <v>#REF!</v>
      </c>
      <c r="ED65" t="e">
        <f>AND(#REF!,"AAAAAHPK/4U=")</f>
        <v>#REF!</v>
      </c>
      <c r="EE65" t="e">
        <f>AND(#REF!,"AAAAAHPK/4Y=")</f>
        <v>#REF!</v>
      </c>
      <c r="EF65" t="e">
        <f>AND(#REF!,"AAAAAHPK/4c=")</f>
        <v>#REF!</v>
      </c>
      <c r="EG65" t="e">
        <f>AND(#REF!,"AAAAAHPK/4g=")</f>
        <v>#REF!</v>
      </c>
      <c r="EH65" t="e">
        <f>IF(#REF!,"AAAAAHPK/4k=",0)</f>
        <v>#REF!</v>
      </c>
      <c r="EI65" t="e">
        <f>AND(#REF!,"AAAAAHPK/4o=")</f>
        <v>#REF!</v>
      </c>
      <c r="EJ65" t="e">
        <f>AND(#REF!,"AAAAAHPK/4s=")</f>
        <v>#REF!</v>
      </c>
      <c r="EK65" t="e">
        <f>AND(#REF!,"AAAAAHPK/4w=")</f>
        <v>#REF!</v>
      </c>
      <c r="EL65" t="e">
        <f>AND(#REF!,"AAAAAHPK/40=")</f>
        <v>#REF!</v>
      </c>
      <c r="EM65" t="e">
        <f>AND(#REF!,"AAAAAHPK/44=")</f>
        <v>#REF!</v>
      </c>
      <c r="EN65" t="e">
        <f>AND(#REF!,"AAAAAHPK/48=")</f>
        <v>#REF!</v>
      </c>
      <c r="EO65" t="e">
        <f>AND(#REF!,"AAAAAHPK/5A=")</f>
        <v>#REF!</v>
      </c>
      <c r="EP65" t="e">
        <f>AND(#REF!,"AAAAAHPK/5E=")</f>
        <v>#REF!</v>
      </c>
      <c r="EQ65" t="e">
        <f>AND(#REF!,"AAAAAHPK/5I=")</f>
        <v>#REF!</v>
      </c>
      <c r="ER65" t="e">
        <f>AND(#REF!,"AAAAAHPK/5M=")</f>
        <v>#REF!</v>
      </c>
      <c r="ES65" t="e">
        <f>AND(#REF!,"AAAAAHPK/5Q=")</f>
        <v>#REF!</v>
      </c>
      <c r="ET65" t="e">
        <f>AND(#REF!,"AAAAAHPK/5U=")</f>
        <v>#REF!</v>
      </c>
      <c r="EU65" t="e">
        <f>AND(#REF!,"AAAAAHPK/5Y=")</f>
        <v>#REF!</v>
      </c>
      <c r="EV65" t="e">
        <f>AND(#REF!,"AAAAAHPK/5c=")</f>
        <v>#REF!</v>
      </c>
      <c r="EW65" t="e">
        <f>AND(#REF!,"AAAAAHPK/5g=")</f>
        <v>#REF!</v>
      </c>
      <c r="EX65" t="e">
        <f>AND(#REF!,"AAAAAHPK/5k=")</f>
        <v>#REF!</v>
      </c>
      <c r="EY65" t="e">
        <f>IF(#REF!,"AAAAAHPK/5o=",0)</f>
        <v>#REF!</v>
      </c>
      <c r="EZ65" t="e">
        <f>AND(#REF!,"AAAAAHPK/5s=")</f>
        <v>#REF!</v>
      </c>
      <c r="FA65" t="e">
        <f>AND(#REF!,"AAAAAHPK/5w=")</f>
        <v>#REF!</v>
      </c>
      <c r="FB65" t="e">
        <f>AND(#REF!,"AAAAAHPK/50=")</f>
        <v>#REF!</v>
      </c>
      <c r="FC65" t="e">
        <f>AND(#REF!,"AAAAAHPK/54=")</f>
        <v>#REF!</v>
      </c>
      <c r="FD65" t="e">
        <f>AND(#REF!,"AAAAAHPK/58=")</f>
        <v>#REF!</v>
      </c>
      <c r="FE65" t="e">
        <f>AND(#REF!,"AAAAAHPK/6A=")</f>
        <v>#REF!</v>
      </c>
      <c r="FF65" t="e">
        <f>AND(#REF!,"AAAAAHPK/6E=")</f>
        <v>#REF!</v>
      </c>
      <c r="FG65" t="e">
        <f>AND(#REF!,"AAAAAHPK/6I=")</f>
        <v>#REF!</v>
      </c>
      <c r="FH65" t="e">
        <f>AND(#REF!,"AAAAAHPK/6M=")</f>
        <v>#REF!</v>
      </c>
      <c r="FI65" t="e">
        <f>AND(#REF!,"AAAAAHPK/6Q=")</f>
        <v>#REF!</v>
      </c>
      <c r="FJ65" t="e">
        <f>AND(#REF!,"AAAAAHPK/6U=")</f>
        <v>#REF!</v>
      </c>
      <c r="FK65" t="e">
        <f>AND(#REF!,"AAAAAHPK/6Y=")</f>
        <v>#REF!</v>
      </c>
      <c r="FL65" t="e">
        <f>AND(#REF!,"AAAAAHPK/6c=")</f>
        <v>#REF!</v>
      </c>
      <c r="FM65" t="e">
        <f>AND(#REF!,"AAAAAHPK/6g=")</f>
        <v>#REF!</v>
      </c>
      <c r="FN65" t="e">
        <f>AND(#REF!,"AAAAAHPK/6k=")</f>
        <v>#REF!</v>
      </c>
      <c r="FO65" t="e">
        <f>AND(#REF!,"AAAAAHPK/6o=")</f>
        <v>#REF!</v>
      </c>
      <c r="FP65" t="e">
        <f>IF(#REF!,"AAAAAHPK/6s=",0)</f>
        <v>#REF!</v>
      </c>
      <c r="FQ65" t="e">
        <f>AND(#REF!,"AAAAAHPK/6w=")</f>
        <v>#REF!</v>
      </c>
      <c r="FR65" t="e">
        <f>AND(#REF!,"AAAAAHPK/60=")</f>
        <v>#REF!</v>
      </c>
      <c r="FS65" t="e">
        <f>AND(#REF!,"AAAAAHPK/64=")</f>
        <v>#REF!</v>
      </c>
      <c r="FT65" t="e">
        <f>AND(#REF!,"AAAAAHPK/68=")</f>
        <v>#REF!</v>
      </c>
      <c r="FU65" t="e">
        <f>AND(#REF!,"AAAAAHPK/7A=")</f>
        <v>#REF!</v>
      </c>
      <c r="FV65" t="e">
        <f>AND(#REF!,"AAAAAHPK/7E=")</f>
        <v>#REF!</v>
      </c>
      <c r="FW65" t="e">
        <f>AND(#REF!,"AAAAAHPK/7I=")</f>
        <v>#REF!</v>
      </c>
      <c r="FX65" t="e">
        <f>AND(#REF!,"AAAAAHPK/7M=")</f>
        <v>#REF!</v>
      </c>
      <c r="FY65" t="e">
        <f>AND(#REF!,"AAAAAHPK/7Q=")</f>
        <v>#REF!</v>
      </c>
      <c r="FZ65" t="e">
        <f>AND(#REF!,"AAAAAHPK/7U=")</f>
        <v>#REF!</v>
      </c>
      <c r="GA65" t="e">
        <f>AND(#REF!,"AAAAAHPK/7Y=")</f>
        <v>#REF!</v>
      </c>
      <c r="GB65" t="e">
        <f>AND(#REF!,"AAAAAHPK/7c=")</f>
        <v>#REF!</v>
      </c>
      <c r="GC65" t="e">
        <f>AND(#REF!,"AAAAAHPK/7g=")</f>
        <v>#REF!</v>
      </c>
      <c r="GD65" t="e">
        <f>AND(#REF!,"AAAAAHPK/7k=")</f>
        <v>#REF!</v>
      </c>
      <c r="GE65" t="e">
        <f>AND(#REF!,"AAAAAHPK/7o=")</f>
        <v>#REF!</v>
      </c>
      <c r="GF65" t="e">
        <f>AND(#REF!,"AAAAAHPK/7s=")</f>
        <v>#REF!</v>
      </c>
      <c r="GG65" t="e">
        <f>IF(#REF!,"AAAAAHPK/7w=",0)</f>
        <v>#REF!</v>
      </c>
      <c r="GH65" t="e">
        <f>AND(#REF!,"AAAAAHPK/70=")</f>
        <v>#REF!</v>
      </c>
      <c r="GI65" t="e">
        <f>AND(#REF!,"AAAAAHPK/74=")</f>
        <v>#REF!</v>
      </c>
      <c r="GJ65" t="e">
        <f>AND(#REF!,"AAAAAHPK/78=")</f>
        <v>#REF!</v>
      </c>
      <c r="GK65" t="e">
        <f>AND(#REF!,"AAAAAHPK/8A=")</f>
        <v>#REF!</v>
      </c>
      <c r="GL65" t="e">
        <f>AND(#REF!,"AAAAAHPK/8E=")</f>
        <v>#REF!</v>
      </c>
      <c r="GM65" t="e">
        <f>AND(#REF!,"AAAAAHPK/8I=")</f>
        <v>#REF!</v>
      </c>
      <c r="GN65" t="e">
        <f>AND(#REF!,"AAAAAHPK/8M=")</f>
        <v>#REF!</v>
      </c>
      <c r="GO65" t="e">
        <f>AND(#REF!,"AAAAAHPK/8Q=")</f>
        <v>#REF!</v>
      </c>
      <c r="GP65" t="e">
        <f>AND(#REF!,"AAAAAHPK/8U=")</f>
        <v>#REF!</v>
      </c>
      <c r="GQ65" t="e">
        <f>AND(#REF!,"AAAAAHPK/8Y=")</f>
        <v>#REF!</v>
      </c>
      <c r="GR65" t="e">
        <f>AND(#REF!,"AAAAAHPK/8c=")</f>
        <v>#REF!</v>
      </c>
      <c r="GS65" t="e">
        <f>AND(#REF!,"AAAAAHPK/8g=")</f>
        <v>#REF!</v>
      </c>
      <c r="GT65" t="e">
        <f>AND(#REF!,"AAAAAHPK/8k=")</f>
        <v>#REF!</v>
      </c>
      <c r="GU65" t="e">
        <f>AND(#REF!,"AAAAAHPK/8o=")</f>
        <v>#REF!</v>
      </c>
      <c r="GV65" t="e">
        <f>AND(#REF!,"AAAAAHPK/8s=")</f>
        <v>#REF!</v>
      </c>
      <c r="GW65" t="e">
        <f>AND(#REF!,"AAAAAHPK/8w=")</f>
        <v>#REF!</v>
      </c>
      <c r="GX65" t="e">
        <f>IF(#REF!,"AAAAAHPK/80=",0)</f>
        <v>#REF!</v>
      </c>
      <c r="GY65" t="e">
        <f>AND(#REF!,"AAAAAHPK/84=")</f>
        <v>#REF!</v>
      </c>
      <c r="GZ65" t="e">
        <f>AND(#REF!,"AAAAAHPK/88=")</f>
        <v>#REF!</v>
      </c>
      <c r="HA65" t="e">
        <f>AND(#REF!,"AAAAAHPK/9A=")</f>
        <v>#REF!</v>
      </c>
      <c r="HB65" t="e">
        <f>AND(#REF!,"AAAAAHPK/9E=")</f>
        <v>#REF!</v>
      </c>
      <c r="HC65" t="e">
        <f>AND(#REF!,"AAAAAHPK/9I=")</f>
        <v>#REF!</v>
      </c>
      <c r="HD65" t="e">
        <f>AND(#REF!,"AAAAAHPK/9M=")</f>
        <v>#REF!</v>
      </c>
      <c r="HE65" t="e">
        <f>AND(#REF!,"AAAAAHPK/9Q=")</f>
        <v>#REF!</v>
      </c>
      <c r="HF65" t="e">
        <f>AND(#REF!,"AAAAAHPK/9U=")</f>
        <v>#REF!</v>
      </c>
      <c r="HG65" t="e">
        <f>AND(#REF!,"AAAAAHPK/9Y=")</f>
        <v>#REF!</v>
      </c>
      <c r="HH65" t="e">
        <f>AND(#REF!,"AAAAAHPK/9c=")</f>
        <v>#REF!</v>
      </c>
      <c r="HI65" t="e">
        <f>AND(#REF!,"AAAAAHPK/9g=")</f>
        <v>#REF!</v>
      </c>
      <c r="HJ65" t="e">
        <f>AND(#REF!,"AAAAAHPK/9k=")</f>
        <v>#REF!</v>
      </c>
      <c r="HK65" t="e">
        <f>AND(#REF!,"AAAAAHPK/9o=")</f>
        <v>#REF!</v>
      </c>
      <c r="HL65" t="e">
        <f>AND(#REF!,"AAAAAHPK/9s=")</f>
        <v>#REF!</v>
      </c>
      <c r="HM65" t="e">
        <f>AND(#REF!,"AAAAAHPK/9w=")</f>
        <v>#REF!</v>
      </c>
      <c r="HN65" t="e">
        <f>AND(#REF!,"AAAAAHPK/90=")</f>
        <v>#REF!</v>
      </c>
      <c r="HO65" t="e">
        <f>IF(#REF!,"AAAAAHPK/94=",0)</f>
        <v>#REF!</v>
      </c>
      <c r="HP65" t="e">
        <f>AND(#REF!,"AAAAAHPK/98=")</f>
        <v>#REF!</v>
      </c>
      <c r="HQ65" t="e">
        <f>AND(#REF!,"AAAAAHPK/+A=")</f>
        <v>#REF!</v>
      </c>
      <c r="HR65" t="e">
        <f>AND(#REF!,"AAAAAHPK/+E=")</f>
        <v>#REF!</v>
      </c>
      <c r="HS65" t="e">
        <f>AND(#REF!,"AAAAAHPK/+I=")</f>
        <v>#REF!</v>
      </c>
      <c r="HT65" t="e">
        <f>AND(#REF!,"AAAAAHPK/+M=")</f>
        <v>#REF!</v>
      </c>
      <c r="HU65" t="e">
        <f>AND(#REF!,"AAAAAHPK/+Q=")</f>
        <v>#REF!</v>
      </c>
      <c r="HV65" t="e">
        <f>AND(#REF!,"AAAAAHPK/+U=")</f>
        <v>#REF!</v>
      </c>
      <c r="HW65" t="e">
        <f>AND(#REF!,"AAAAAHPK/+Y=")</f>
        <v>#REF!</v>
      </c>
      <c r="HX65" t="e">
        <f>AND(#REF!,"AAAAAHPK/+c=")</f>
        <v>#REF!</v>
      </c>
      <c r="HY65" t="e">
        <f>AND(#REF!,"AAAAAHPK/+g=")</f>
        <v>#REF!</v>
      </c>
      <c r="HZ65" t="e">
        <f>AND(#REF!,"AAAAAHPK/+k=")</f>
        <v>#REF!</v>
      </c>
      <c r="IA65" t="e">
        <f>AND(#REF!,"AAAAAHPK/+o=")</f>
        <v>#REF!</v>
      </c>
      <c r="IB65" t="e">
        <f>AND(#REF!,"AAAAAHPK/+s=")</f>
        <v>#REF!</v>
      </c>
      <c r="IC65" t="e">
        <f>AND(#REF!,"AAAAAHPK/+w=")</f>
        <v>#REF!</v>
      </c>
      <c r="ID65" t="e">
        <f>AND(#REF!,"AAAAAHPK/+0=")</f>
        <v>#REF!</v>
      </c>
      <c r="IE65" t="e">
        <f>AND(#REF!,"AAAAAHPK/+4=")</f>
        <v>#REF!</v>
      </c>
      <c r="IF65" t="e">
        <f>IF(#REF!,"AAAAAHPK/+8=",0)</f>
        <v>#REF!</v>
      </c>
      <c r="IG65" t="e">
        <f>AND(#REF!,"AAAAAHPK//A=")</f>
        <v>#REF!</v>
      </c>
      <c r="IH65" t="e">
        <f>AND(#REF!,"AAAAAHPK//E=")</f>
        <v>#REF!</v>
      </c>
      <c r="II65" t="e">
        <f>AND(#REF!,"AAAAAHPK//I=")</f>
        <v>#REF!</v>
      </c>
      <c r="IJ65" t="e">
        <f>AND(#REF!,"AAAAAHPK//M=")</f>
        <v>#REF!</v>
      </c>
      <c r="IK65" t="e">
        <f>AND(#REF!,"AAAAAHPK//Q=")</f>
        <v>#REF!</v>
      </c>
      <c r="IL65" t="e">
        <f>AND(#REF!,"AAAAAHPK//U=")</f>
        <v>#REF!</v>
      </c>
      <c r="IM65" t="e">
        <f>AND(#REF!,"AAAAAHPK//Y=")</f>
        <v>#REF!</v>
      </c>
      <c r="IN65" t="e">
        <f>AND(#REF!,"AAAAAHPK//c=")</f>
        <v>#REF!</v>
      </c>
      <c r="IO65" t="e">
        <f>AND(#REF!,"AAAAAHPK//g=")</f>
        <v>#REF!</v>
      </c>
      <c r="IP65" t="e">
        <f>AND(#REF!,"AAAAAHPK//k=")</f>
        <v>#REF!</v>
      </c>
      <c r="IQ65" t="e">
        <f>AND(#REF!,"AAAAAHPK//o=")</f>
        <v>#REF!</v>
      </c>
      <c r="IR65" t="e">
        <f>AND(#REF!,"AAAAAHPK//s=")</f>
        <v>#REF!</v>
      </c>
      <c r="IS65" t="e">
        <f>AND(#REF!,"AAAAAHPK//w=")</f>
        <v>#REF!</v>
      </c>
      <c r="IT65" t="e">
        <f>AND(#REF!,"AAAAAHPK//0=")</f>
        <v>#REF!</v>
      </c>
      <c r="IU65" t="e">
        <f>AND(#REF!,"AAAAAHPK//4=")</f>
        <v>#REF!</v>
      </c>
      <c r="IV65" t="e">
        <f>AND(#REF!,"AAAAAHPK//8=")</f>
        <v>#REF!</v>
      </c>
    </row>
    <row r="66" spans="1:256" x14ac:dyDescent="0.25">
      <c r="A66" t="e">
        <f>IF(#REF!,"AAAAAC//DwA=",0)</f>
        <v>#REF!</v>
      </c>
      <c r="B66" t="e">
        <f>AND(#REF!,"AAAAAC//DwE=")</f>
        <v>#REF!</v>
      </c>
      <c r="C66" t="e">
        <f>AND(#REF!,"AAAAAC//DwI=")</f>
        <v>#REF!</v>
      </c>
      <c r="D66" t="e">
        <f>AND(#REF!,"AAAAAC//DwM=")</f>
        <v>#REF!</v>
      </c>
      <c r="E66" t="e">
        <f>AND(#REF!,"AAAAAC//DwQ=")</f>
        <v>#REF!</v>
      </c>
      <c r="F66" t="e">
        <f>AND(#REF!,"AAAAAC//DwU=")</f>
        <v>#REF!</v>
      </c>
      <c r="G66" t="e">
        <f>AND(#REF!,"AAAAAC//DwY=")</f>
        <v>#REF!</v>
      </c>
      <c r="H66" t="e">
        <f>AND(#REF!,"AAAAAC//Dwc=")</f>
        <v>#REF!</v>
      </c>
      <c r="I66" t="e">
        <f>AND(#REF!,"AAAAAC//Dwg=")</f>
        <v>#REF!</v>
      </c>
      <c r="J66" t="e">
        <f>AND(#REF!,"AAAAAC//Dwk=")</f>
        <v>#REF!</v>
      </c>
      <c r="K66" t="e">
        <f>AND(#REF!,"AAAAAC//Dwo=")</f>
        <v>#REF!</v>
      </c>
      <c r="L66" t="e">
        <f>AND(#REF!,"AAAAAC//Dws=")</f>
        <v>#REF!</v>
      </c>
      <c r="M66" t="e">
        <f>AND(#REF!,"AAAAAC//Dww=")</f>
        <v>#REF!</v>
      </c>
      <c r="N66" t="e">
        <f>AND(#REF!,"AAAAAC//Dw0=")</f>
        <v>#REF!</v>
      </c>
      <c r="O66" t="e">
        <f>AND(#REF!,"AAAAAC//Dw4=")</f>
        <v>#REF!</v>
      </c>
      <c r="P66" t="e">
        <f>AND(#REF!,"AAAAAC//Dw8=")</f>
        <v>#REF!</v>
      </c>
      <c r="Q66" t="e">
        <f>AND(#REF!,"AAAAAC//DxA=")</f>
        <v>#REF!</v>
      </c>
      <c r="R66" t="e">
        <f>IF(#REF!,"AAAAAC//DxE=",0)</f>
        <v>#REF!</v>
      </c>
      <c r="S66" t="e">
        <f>AND(#REF!,"AAAAAC//DxI=")</f>
        <v>#REF!</v>
      </c>
      <c r="T66" t="e">
        <f>AND(#REF!,"AAAAAC//DxM=")</f>
        <v>#REF!</v>
      </c>
      <c r="U66" t="e">
        <f>AND(#REF!,"AAAAAC//DxQ=")</f>
        <v>#REF!</v>
      </c>
      <c r="V66" t="e">
        <f>AND(#REF!,"AAAAAC//DxU=")</f>
        <v>#REF!</v>
      </c>
      <c r="W66" t="e">
        <f>AND(#REF!,"AAAAAC//DxY=")</f>
        <v>#REF!</v>
      </c>
      <c r="X66" t="e">
        <f>AND(#REF!,"AAAAAC//Dxc=")</f>
        <v>#REF!</v>
      </c>
      <c r="Y66" t="e">
        <f>AND(#REF!,"AAAAAC//Dxg=")</f>
        <v>#REF!</v>
      </c>
      <c r="Z66" t="e">
        <f>AND(#REF!,"AAAAAC//Dxk=")</f>
        <v>#REF!</v>
      </c>
      <c r="AA66" t="e">
        <f>AND(#REF!,"AAAAAC//Dxo=")</f>
        <v>#REF!</v>
      </c>
      <c r="AB66" t="e">
        <f>AND(#REF!,"AAAAAC//Dxs=")</f>
        <v>#REF!</v>
      </c>
      <c r="AC66" t="e">
        <f>AND(#REF!,"AAAAAC//Dxw=")</f>
        <v>#REF!</v>
      </c>
      <c r="AD66" t="e">
        <f>AND(#REF!,"AAAAAC//Dx0=")</f>
        <v>#REF!</v>
      </c>
      <c r="AE66" t="e">
        <f>AND(#REF!,"AAAAAC//Dx4=")</f>
        <v>#REF!</v>
      </c>
      <c r="AF66" t="e">
        <f>AND(#REF!,"AAAAAC//Dx8=")</f>
        <v>#REF!</v>
      </c>
      <c r="AG66" t="e">
        <f>AND(#REF!,"AAAAAC//DyA=")</f>
        <v>#REF!</v>
      </c>
      <c r="AH66" t="e">
        <f>AND(#REF!,"AAAAAC//DyE=")</f>
        <v>#REF!</v>
      </c>
      <c r="AI66" t="e">
        <f>IF(#REF!,"AAAAAC//DyI=",0)</f>
        <v>#REF!</v>
      </c>
      <c r="AJ66" t="e">
        <f>AND(#REF!,"AAAAAC//DyM=")</f>
        <v>#REF!</v>
      </c>
      <c r="AK66" t="e">
        <f>AND(#REF!,"AAAAAC//DyQ=")</f>
        <v>#REF!</v>
      </c>
      <c r="AL66" t="e">
        <f>AND(#REF!,"AAAAAC//DyU=")</f>
        <v>#REF!</v>
      </c>
      <c r="AM66" t="e">
        <f>AND(#REF!,"AAAAAC//DyY=")</f>
        <v>#REF!</v>
      </c>
      <c r="AN66" t="e">
        <f>AND(#REF!,"AAAAAC//Dyc=")</f>
        <v>#REF!</v>
      </c>
      <c r="AO66" t="e">
        <f>AND(#REF!,"AAAAAC//Dyg=")</f>
        <v>#REF!</v>
      </c>
      <c r="AP66" t="e">
        <f>AND(#REF!,"AAAAAC//Dyk=")</f>
        <v>#REF!</v>
      </c>
      <c r="AQ66" t="e">
        <f>AND(#REF!,"AAAAAC//Dyo=")</f>
        <v>#REF!</v>
      </c>
      <c r="AR66" t="e">
        <f>AND(#REF!,"AAAAAC//Dys=")</f>
        <v>#REF!</v>
      </c>
      <c r="AS66" t="e">
        <f>AND(#REF!,"AAAAAC//Dyw=")</f>
        <v>#REF!</v>
      </c>
      <c r="AT66" t="e">
        <f>AND(#REF!,"AAAAAC//Dy0=")</f>
        <v>#REF!</v>
      </c>
      <c r="AU66" t="e">
        <f>AND(#REF!,"AAAAAC//Dy4=")</f>
        <v>#REF!</v>
      </c>
      <c r="AV66" t="e">
        <f>AND(#REF!,"AAAAAC//Dy8=")</f>
        <v>#REF!</v>
      </c>
      <c r="AW66" t="e">
        <f>AND(#REF!,"AAAAAC//DzA=")</f>
        <v>#REF!</v>
      </c>
      <c r="AX66" t="e">
        <f>AND(#REF!,"AAAAAC//DzE=")</f>
        <v>#REF!</v>
      </c>
      <c r="AY66" t="e">
        <f>AND(#REF!,"AAAAAC//DzI=")</f>
        <v>#REF!</v>
      </c>
      <c r="AZ66" t="e">
        <f>IF(#REF!,"AAAAAC//DzM=",0)</f>
        <v>#REF!</v>
      </c>
      <c r="BA66" t="e">
        <f>AND(#REF!,"AAAAAC//DzQ=")</f>
        <v>#REF!</v>
      </c>
      <c r="BB66" t="e">
        <f>AND(#REF!,"AAAAAC//DzU=")</f>
        <v>#REF!</v>
      </c>
      <c r="BC66" t="e">
        <f>AND(#REF!,"AAAAAC//DzY=")</f>
        <v>#REF!</v>
      </c>
      <c r="BD66" t="e">
        <f>AND(#REF!,"AAAAAC//Dzc=")</f>
        <v>#REF!</v>
      </c>
      <c r="BE66" t="e">
        <f>AND(#REF!,"AAAAAC//Dzg=")</f>
        <v>#REF!</v>
      </c>
      <c r="BF66" t="e">
        <f>AND(#REF!,"AAAAAC//Dzk=")</f>
        <v>#REF!</v>
      </c>
      <c r="BG66" t="e">
        <f>AND(#REF!,"AAAAAC//Dzo=")</f>
        <v>#REF!</v>
      </c>
      <c r="BH66" t="e">
        <f>AND(#REF!,"AAAAAC//Dzs=")</f>
        <v>#REF!</v>
      </c>
      <c r="BI66" t="e">
        <f>AND(#REF!,"AAAAAC//Dzw=")</f>
        <v>#REF!</v>
      </c>
      <c r="BJ66" t="e">
        <f>AND(#REF!,"AAAAAC//Dz0=")</f>
        <v>#REF!</v>
      </c>
      <c r="BK66" t="e">
        <f>AND(#REF!,"AAAAAC//Dz4=")</f>
        <v>#REF!</v>
      </c>
      <c r="BL66" t="e">
        <f>AND(#REF!,"AAAAAC//Dz8=")</f>
        <v>#REF!</v>
      </c>
      <c r="BM66" t="e">
        <f>AND(#REF!,"AAAAAC//D0A=")</f>
        <v>#REF!</v>
      </c>
      <c r="BN66" t="e">
        <f>AND(#REF!,"AAAAAC//D0E=")</f>
        <v>#REF!</v>
      </c>
      <c r="BO66" t="e">
        <f>AND(#REF!,"AAAAAC//D0I=")</f>
        <v>#REF!</v>
      </c>
      <c r="BP66" t="e">
        <f>AND(#REF!,"AAAAAC//D0M=")</f>
        <v>#REF!</v>
      </c>
      <c r="BQ66" t="e">
        <f>IF(#REF!,"AAAAAC//D0Q=",0)</f>
        <v>#REF!</v>
      </c>
      <c r="BR66" t="e">
        <f>AND(#REF!,"AAAAAC//D0U=")</f>
        <v>#REF!</v>
      </c>
      <c r="BS66" t="e">
        <f>AND(#REF!,"AAAAAC//D0Y=")</f>
        <v>#REF!</v>
      </c>
      <c r="BT66" t="e">
        <f>AND(#REF!,"AAAAAC//D0c=")</f>
        <v>#REF!</v>
      </c>
      <c r="BU66" t="e">
        <f>AND(#REF!,"AAAAAC//D0g=")</f>
        <v>#REF!</v>
      </c>
      <c r="BV66" t="e">
        <f>AND(#REF!,"AAAAAC//D0k=")</f>
        <v>#REF!</v>
      </c>
      <c r="BW66" t="e">
        <f>AND(#REF!,"AAAAAC//D0o=")</f>
        <v>#REF!</v>
      </c>
      <c r="BX66" t="e">
        <f>AND(#REF!,"AAAAAC//D0s=")</f>
        <v>#REF!</v>
      </c>
      <c r="BY66" t="e">
        <f>AND(#REF!,"AAAAAC//D0w=")</f>
        <v>#REF!</v>
      </c>
      <c r="BZ66" t="e">
        <f>AND(#REF!,"AAAAAC//D00=")</f>
        <v>#REF!</v>
      </c>
      <c r="CA66" t="e">
        <f>AND(#REF!,"AAAAAC//D04=")</f>
        <v>#REF!</v>
      </c>
      <c r="CB66" t="e">
        <f>AND(#REF!,"AAAAAC//D08=")</f>
        <v>#REF!</v>
      </c>
      <c r="CC66" t="e">
        <f>AND(#REF!,"AAAAAC//D1A=")</f>
        <v>#REF!</v>
      </c>
      <c r="CD66" t="e">
        <f>AND(#REF!,"AAAAAC//D1E=")</f>
        <v>#REF!</v>
      </c>
      <c r="CE66" t="e">
        <f>AND(#REF!,"AAAAAC//D1I=")</f>
        <v>#REF!</v>
      </c>
      <c r="CF66" t="e">
        <f>AND(#REF!,"AAAAAC//D1M=")</f>
        <v>#REF!</v>
      </c>
      <c r="CG66" t="e">
        <f>AND(#REF!,"AAAAAC//D1Q=")</f>
        <v>#REF!</v>
      </c>
      <c r="CH66" t="e">
        <f>IF(#REF!,"AAAAAC//D1U=",0)</f>
        <v>#REF!</v>
      </c>
      <c r="CI66" t="e">
        <f>AND(#REF!,"AAAAAC//D1Y=")</f>
        <v>#REF!</v>
      </c>
      <c r="CJ66" t="e">
        <f>AND(#REF!,"AAAAAC//D1c=")</f>
        <v>#REF!</v>
      </c>
      <c r="CK66" t="e">
        <f>AND(#REF!,"AAAAAC//D1g=")</f>
        <v>#REF!</v>
      </c>
      <c r="CL66" t="e">
        <f>AND(#REF!,"AAAAAC//D1k=")</f>
        <v>#REF!</v>
      </c>
      <c r="CM66" t="e">
        <f>AND(#REF!,"AAAAAC//D1o=")</f>
        <v>#REF!</v>
      </c>
      <c r="CN66" t="e">
        <f>AND(#REF!,"AAAAAC//D1s=")</f>
        <v>#REF!</v>
      </c>
      <c r="CO66" t="e">
        <f>AND(#REF!,"AAAAAC//D1w=")</f>
        <v>#REF!</v>
      </c>
      <c r="CP66" t="e">
        <f>AND(#REF!,"AAAAAC//D10=")</f>
        <v>#REF!</v>
      </c>
      <c r="CQ66" t="e">
        <f>AND(#REF!,"AAAAAC//D14=")</f>
        <v>#REF!</v>
      </c>
      <c r="CR66" t="e">
        <f>AND(#REF!,"AAAAAC//D18=")</f>
        <v>#REF!</v>
      </c>
      <c r="CS66" t="e">
        <f>AND(#REF!,"AAAAAC//D2A=")</f>
        <v>#REF!</v>
      </c>
      <c r="CT66" t="e">
        <f>AND(#REF!,"AAAAAC//D2E=")</f>
        <v>#REF!</v>
      </c>
      <c r="CU66" t="e">
        <f>AND(#REF!,"AAAAAC//D2I=")</f>
        <v>#REF!</v>
      </c>
      <c r="CV66" t="e">
        <f>AND(#REF!,"AAAAAC//D2M=")</f>
        <v>#REF!</v>
      </c>
      <c r="CW66" t="e">
        <f>AND(#REF!,"AAAAAC//D2Q=")</f>
        <v>#REF!</v>
      </c>
      <c r="CX66" t="e">
        <f>AND(#REF!,"AAAAAC//D2U=")</f>
        <v>#REF!</v>
      </c>
      <c r="CY66" t="e">
        <f>IF(#REF!,"AAAAAC//D2Y=",0)</f>
        <v>#REF!</v>
      </c>
      <c r="CZ66" t="e">
        <f>AND(#REF!,"AAAAAC//D2c=")</f>
        <v>#REF!</v>
      </c>
      <c r="DA66" t="e">
        <f>AND(#REF!,"AAAAAC//D2g=")</f>
        <v>#REF!</v>
      </c>
      <c r="DB66" t="e">
        <f>AND(#REF!,"AAAAAC//D2k=")</f>
        <v>#REF!</v>
      </c>
      <c r="DC66" t="e">
        <f>AND(#REF!,"AAAAAC//D2o=")</f>
        <v>#REF!</v>
      </c>
      <c r="DD66" t="e">
        <f>AND(#REF!,"AAAAAC//D2s=")</f>
        <v>#REF!</v>
      </c>
      <c r="DE66" t="e">
        <f>AND(#REF!,"AAAAAC//D2w=")</f>
        <v>#REF!</v>
      </c>
      <c r="DF66" t="e">
        <f>AND(#REF!,"AAAAAC//D20=")</f>
        <v>#REF!</v>
      </c>
      <c r="DG66" t="e">
        <f>AND(#REF!,"AAAAAC//D24=")</f>
        <v>#REF!</v>
      </c>
      <c r="DH66" t="e">
        <f>AND(#REF!,"AAAAAC//D28=")</f>
        <v>#REF!</v>
      </c>
      <c r="DI66" t="e">
        <f>AND(#REF!,"AAAAAC//D3A=")</f>
        <v>#REF!</v>
      </c>
      <c r="DJ66" t="e">
        <f>AND(#REF!,"AAAAAC//D3E=")</f>
        <v>#REF!</v>
      </c>
      <c r="DK66" t="e">
        <f>AND(#REF!,"AAAAAC//D3I=")</f>
        <v>#REF!</v>
      </c>
      <c r="DL66" t="e">
        <f>AND(#REF!,"AAAAAC//D3M=")</f>
        <v>#REF!</v>
      </c>
      <c r="DM66" t="e">
        <f>AND(#REF!,"AAAAAC//D3Q=")</f>
        <v>#REF!</v>
      </c>
      <c r="DN66" t="e">
        <f>AND(#REF!,"AAAAAC//D3U=")</f>
        <v>#REF!</v>
      </c>
      <c r="DO66" t="e">
        <f>AND(#REF!,"AAAAAC//D3Y=")</f>
        <v>#REF!</v>
      </c>
      <c r="DP66" t="e">
        <f>IF(#REF!,"AAAAAC//D3c=",0)</f>
        <v>#REF!</v>
      </c>
      <c r="DQ66" t="e">
        <f>AND(#REF!,"AAAAAC//D3g=")</f>
        <v>#REF!</v>
      </c>
      <c r="DR66" t="e">
        <f>AND(#REF!,"AAAAAC//D3k=")</f>
        <v>#REF!</v>
      </c>
      <c r="DS66" t="e">
        <f>AND(#REF!,"AAAAAC//D3o=")</f>
        <v>#REF!</v>
      </c>
      <c r="DT66" t="e">
        <f>AND(#REF!,"AAAAAC//D3s=")</f>
        <v>#REF!</v>
      </c>
      <c r="DU66" t="e">
        <f>AND(#REF!,"AAAAAC//D3w=")</f>
        <v>#REF!</v>
      </c>
      <c r="DV66" t="e">
        <f>AND(#REF!,"AAAAAC//D30=")</f>
        <v>#REF!</v>
      </c>
      <c r="DW66" t="e">
        <f>AND(#REF!,"AAAAAC//D34=")</f>
        <v>#REF!</v>
      </c>
      <c r="DX66" t="e">
        <f>AND(#REF!,"AAAAAC//D38=")</f>
        <v>#REF!</v>
      </c>
      <c r="DY66" t="e">
        <f>AND(#REF!,"AAAAAC//D4A=")</f>
        <v>#REF!</v>
      </c>
      <c r="DZ66" t="e">
        <f>AND(#REF!,"AAAAAC//D4E=")</f>
        <v>#REF!</v>
      </c>
      <c r="EA66" t="e">
        <f>AND(#REF!,"AAAAAC//D4I=")</f>
        <v>#REF!</v>
      </c>
      <c r="EB66" t="e">
        <f>AND(#REF!,"AAAAAC//D4M=")</f>
        <v>#REF!</v>
      </c>
      <c r="EC66" t="e">
        <f>AND(#REF!,"AAAAAC//D4Q=")</f>
        <v>#REF!</v>
      </c>
      <c r="ED66" t="e">
        <f>AND(#REF!,"AAAAAC//D4U=")</f>
        <v>#REF!</v>
      </c>
      <c r="EE66" t="e">
        <f>AND(#REF!,"AAAAAC//D4Y=")</f>
        <v>#REF!</v>
      </c>
      <c r="EF66" t="e">
        <f>AND(#REF!,"AAAAAC//D4c=")</f>
        <v>#REF!</v>
      </c>
      <c r="EG66" t="e">
        <f>IF(#REF!,"AAAAAC//D4g=",0)</f>
        <v>#REF!</v>
      </c>
      <c r="EH66" t="e">
        <f>AND(#REF!,"AAAAAC//D4k=")</f>
        <v>#REF!</v>
      </c>
      <c r="EI66" t="e">
        <f>AND(#REF!,"AAAAAC//D4o=")</f>
        <v>#REF!</v>
      </c>
      <c r="EJ66" t="e">
        <f>AND(#REF!,"AAAAAC//D4s=")</f>
        <v>#REF!</v>
      </c>
      <c r="EK66" t="e">
        <f>AND(#REF!,"AAAAAC//D4w=")</f>
        <v>#REF!</v>
      </c>
      <c r="EL66" t="e">
        <f>AND(#REF!,"AAAAAC//D40=")</f>
        <v>#REF!</v>
      </c>
      <c r="EM66" t="e">
        <f>AND(#REF!,"AAAAAC//D44=")</f>
        <v>#REF!</v>
      </c>
      <c r="EN66" t="e">
        <f>AND(#REF!,"AAAAAC//D48=")</f>
        <v>#REF!</v>
      </c>
      <c r="EO66" t="e">
        <f>AND(#REF!,"AAAAAC//D5A=")</f>
        <v>#REF!</v>
      </c>
      <c r="EP66" t="e">
        <f>AND(#REF!,"AAAAAC//D5E=")</f>
        <v>#REF!</v>
      </c>
      <c r="EQ66" t="e">
        <f>AND(#REF!,"AAAAAC//D5I=")</f>
        <v>#REF!</v>
      </c>
      <c r="ER66" t="e">
        <f>AND(#REF!,"AAAAAC//D5M=")</f>
        <v>#REF!</v>
      </c>
      <c r="ES66" t="e">
        <f>AND(#REF!,"AAAAAC//D5Q=")</f>
        <v>#REF!</v>
      </c>
      <c r="ET66" t="e">
        <f>AND(#REF!,"AAAAAC//D5U=")</f>
        <v>#REF!</v>
      </c>
      <c r="EU66" t="e">
        <f>AND(#REF!,"AAAAAC//D5Y=")</f>
        <v>#REF!</v>
      </c>
      <c r="EV66" t="e">
        <f>AND(#REF!,"AAAAAC//D5c=")</f>
        <v>#REF!</v>
      </c>
      <c r="EW66" t="e">
        <f>AND(#REF!,"AAAAAC//D5g=")</f>
        <v>#REF!</v>
      </c>
      <c r="EX66" t="e">
        <f>IF(#REF!,"AAAAAC//D5k=",0)</f>
        <v>#REF!</v>
      </c>
      <c r="EY66" t="e">
        <f>AND(#REF!,"AAAAAC//D5o=")</f>
        <v>#REF!</v>
      </c>
      <c r="EZ66" t="e">
        <f>AND(#REF!,"AAAAAC//D5s=")</f>
        <v>#REF!</v>
      </c>
      <c r="FA66" t="e">
        <f>AND(#REF!,"AAAAAC//D5w=")</f>
        <v>#REF!</v>
      </c>
      <c r="FB66" t="e">
        <f>AND(#REF!,"AAAAAC//D50=")</f>
        <v>#REF!</v>
      </c>
      <c r="FC66" t="e">
        <f>AND(#REF!,"AAAAAC//D54=")</f>
        <v>#REF!</v>
      </c>
      <c r="FD66" t="e">
        <f>AND(#REF!,"AAAAAC//D58=")</f>
        <v>#REF!</v>
      </c>
      <c r="FE66" t="e">
        <f>AND(#REF!,"AAAAAC//D6A=")</f>
        <v>#REF!</v>
      </c>
      <c r="FF66" t="e">
        <f>AND(#REF!,"AAAAAC//D6E=")</f>
        <v>#REF!</v>
      </c>
      <c r="FG66" t="e">
        <f>AND(#REF!,"AAAAAC//D6I=")</f>
        <v>#REF!</v>
      </c>
      <c r="FH66" t="e">
        <f>AND(#REF!,"AAAAAC//D6M=")</f>
        <v>#REF!</v>
      </c>
      <c r="FI66" t="e">
        <f>AND(#REF!,"AAAAAC//D6Q=")</f>
        <v>#REF!</v>
      </c>
      <c r="FJ66" t="e">
        <f>AND(#REF!,"AAAAAC//D6U=")</f>
        <v>#REF!</v>
      </c>
      <c r="FK66" t="e">
        <f>AND(#REF!,"AAAAAC//D6Y=")</f>
        <v>#REF!</v>
      </c>
      <c r="FL66" t="e">
        <f>AND(#REF!,"AAAAAC//D6c=")</f>
        <v>#REF!</v>
      </c>
      <c r="FM66" t="e">
        <f>AND(#REF!,"AAAAAC//D6g=")</f>
        <v>#REF!</v>
      </c>
      <c r="FN66" t="e">
        <f>AND(#REF!,"AAAAAC//D6k=")</f>
        <v>#REF!</v>
      </c>
      <c r="FO66" t="e">
        <f>IF(#REF!,"AAAAAC//D6o=",0)</f>
        <v>#REF!</v>
      </c>
      <c r="FP66" t="e">
        <f>AND(#REF!,"AAAAAC//D6s=")</f>
        <v>#REF!</v>
      </c>
      <c r="FQ66" t="e">
        <f>AND(#REF!,"AAAAAC//D6w=")</f>
        <v>#REF!</v>
      </c>
      <c r="FR66" t="e">
        <f>AND(#REF!,"AAAAAC//D60=")</f>
        <v>#REF!</v>
      </c>
      <c r="FS66" t="e">
        <f>AND(#REF!,"AAAAAC//D64=")</f>
        <v>#REF!</v>
      </c>
      <c r="FT66" t="e">
        <f>AND(#REF!,"AAAAAC//D68=")</f>
        <v>#REF!</v>
      </c>
      <c r="FU66" t="e">
        <f>AND(#REF!,"AAAAAC//D7A=")</f>
        <v>#REF!</v>
      </c>
      <c r="FV66" t="e">
        <f>AND(#REF!,"AAAAAC//D7E=")</f>
        <v>#REF!</v>
      </c>
      <c r="FW66" t="e">
        <f>AND(#REF!,"AAAAAC//D7I=")</f>
        <v>#REF!</v>
      </c>
      <c r="FX66" t="e">
        <f>AND(#REF!,"AAAAAC//D7M=")</f>
        <v>#REF!</v>
      </c>
      <c r="FY66" t="e">
        <f>AND(#REF!,"AAAAAC//D7Q=")</f>
        <v>#REF!</v>
      </c>
      <c r="FZ66" t="e">
        <f>AND(#REF!,"AAAAAC//D7U=")</f>
        <v>#REF!</v>
      </c>
      <c r="GA66" t="e">
        <f>AND(#REF!,"AAAAAC//D7Y=")</f>
        <v>#REF!</v>
      </c>
      <c r="GB66" t="e">
        <f>AND(#REF!,"AAAAAC//D7c=")</f>
        <v>#REF!</v>
      </c>
      <c r="GC66" t="e">
        <f>AND(#REF!,"AAAAAC//D7g=")</f>
        <v>#REF!</v>
      </c>
      <c r="GD66" t="e">
        <f>AND(#REF!,"AAAAAC//D7k=")</f>
        <v>#REF!</v>
      </c>
      <c r="GE66" t="e">
        <f>AND(#REF!,"AAAAAC//D7o=")</f>
        <v>#REF!</v>
      </c>
      <c r="GF66" t="e">
        <f>IF(#REF!,"AAAAAC//D7s=",0)</f>
        <v>#REF!</v>
      </c>
      <c r="GG66" t="e">
        <f>AND(#REF!,"AAAAAC//D7w=")</f>
        <v>#REF!</v>
      </c>
      <c r="GH66" t="e">
        <f>AND(#REF!,"AAAAAC//D70=")</f>
        <v>#REF!</v>
      </c>
      <c r="GI66" t="e">
        <f>AND(#REF!,"AAAAAC//D74=")</f>
        <v>#REF!</v>
      </c>
      <c r="GJ66" t="e">
        <f>AND(#REF!,"AAAAAC//D78=")</f>
        <v>#REF!</v>
      </c>
      <c r="GK66" t="e">
        <f>AND(#REF!,"AAAAAC//D8A=")</f>
        <v>#REF!</v>
      </c>
      <c r="GL66" t="e">
        <f>AND(#REF!,"AAAAAC//D8E=")</f>
        <v>#REF!</v>
      </c>
      <c r="GM66" t="e">
        <f>AND(#REF!,"AAAAAC//D8I=")</f>
        <v>#REF!</v>
      </c>
      <c r="GN66" t="e">
        <f>AND(#REF!,"AAAAAC//D8M=")</f>
        <v>#REF!</v>
      </c>
      <c r="GO66" t="e">
        <f>AND(#REF!,"AAAAAC//D8Q=")</f>
        <v>#REF!</v>
      </c>
      <c r="GP66" t="e">
        <f>AND(#REF!,"AAAAAC//D8U=")</f>
        <v>#REF!</v>
      </c>
      <c r="GQ66" t="e">
        <f>AND(#REF!,"AAAAAC//D8Y=")</f>
        <v>#REF!</v>
      </c>
      <c r="GR66" t="e">
        <f>AND(#REF!,"AAAAAC//D8c=")</f>
        <v>#REF!</v>
      </c>
      <c r="GS66" t="e">
        <f>AND(#REF!,"AAAAAC//D8g=")</f>
        <v>#REF!</v>
      </c>
      <c r="GT66" t="e">
        <f>AND(#REF!,"AAAAAC//D8k=")</f>
        <v>#REF!</v>
      </c>
      <c r="GU66" t="e">
        <f>AND(#REF!,"AAAAAC//D8o=")</f>
        <v>#REF!</v>
      </c>
      <c r="GV66" t="e">
        <f>AND(#REF!,"AAAAAC//D8s=")</f>
        <v>#REF!</v>
      </c>
      <c r="GW66" t="e">
        <f>IF(#REF!,"AAAAAC//D8w=",0)</f>
        <v>#REF!</v>
      </c>
      <c r="GX66" t="e">
        <f>AND(#REF!,"AAAAAC//D80=")</f>
        <v>#REF!</v>
      </c>
      <c r="GY66" t="e">
        <f>AND(#REF!,"AAAAAC//D84=")</f>
        <v>#REF!</v>
      </c>
      <c r="GZ66" t="e">
        <f>AND(#REF!,"AAAAAC//D88=")</f>
        <v>#REF!</v>
      </c>
      <c r="HA66" t="e">
        <f>AND(#REF!,"AAAAAC//D9A=")</f>
        <v>#REF!</v>
      </c>
      <c r="HB66" t="e">
        <f>AND(#REF!,"AAAAAC//D9E=")</f>
        <v>#REF!</v>
      </c>
      <c r="HC66" t="e">
        <f>AND(#REF!,"AAAAAC//D9I=")</f>
        <v>#REF!</v>
      </c>
      <c r="HD66" t="e">
        <f>AND(#REF!,"AAAAAC//D9M=")</f>
        <v>#REF!</v>
      </c>
      <c r="HE66" t="e">
        <f>AND(#REF!,"AAAAAC//D9Q=")</f>
        <v>#REF!</v>
      </c>
      <c r="HF66" t="e">
        <f>AND(#REF!,"AAAAAC//D9U=")</f>
        <v>#REF!</v>
      </c>
      <c r="HG66" t="e">
        <f>AND(#REF!,"AAAAAC//D9Y=")</f>
        <v>#REF!</v>
      </c>
      <c r="HH66" t="e">
        <f>AND(#REF!,"AAAAAC//D9c=")</f>
        <v>#REF!</v>
      </c>
      <c r="HI66" t="e">
        <f>AND(#REF!,"AAAAAC//D9g=")</f>
        <v>#REF!</v>
      </c>
      <c r="HJ66" t="e">
        <f>AND(#REF!,"AAAAAC//D9k=")</f>
        <v>#REF!</v>
      </c>
      <c r="HK66" t="e">
        <f>AND(#REF!,"AAAAAC//D9o=")</f>
        <v>#REF!</v>
      </c>
      <c r="HL66" t="e">
        <f>AND(#REF!,"AAAAAC//D9s=")</f>
        <v>#REF!</v>
      </c>
      <c r="HM66" t="e">
        <f>AND(#REF!,"AAAAAC//D9w=")</f>
        <v>#REF!</v>
      </c>
      <c r="HN66" t="e">
        <f>IF(#REF!,"AAAAAC//D90=",0)</f>
        <v>#REF!</v>
      </c>
      <c r="HO66" t="e">
        <f>AND(#REF!,"AAAAAC//D94=")</f>
        <v>#REF!</v>
      </c>
      <c r="HP66" t="e">
        <f>AND(#REF!,"AAAAAC//D98=")</f>
        <v>#REF!</v>
      </c>
      <c r="HQ66" t="e">
        <f>AND(#REF!,"AAAAAC//D+A=")</f>
        <v>#REF!</v>
      </c>
      <c r="HR66" t="e">
        <f>AND(#REF!,"AAAAAC//D+E=")</f>
        <v>#REF!</v>
      </c>
      <c r="HS66" t="e">
        <f>AND(#REF!,"AAAAAC//D+I=")</f>
        <v>#REF!</v>
      </c>
      <c r="HT66" t="e">
        <f>AND(#REF!,"AAAAAC//D+M=")</f>
        <v>#REF!</v>
      </c>
      <c r="HU66" t="e">
        <f>AND(#REF!,"AAAAAC//D+Q=")</f>
        <v>#REF!</v>
      </c>
      <c r="HV66" t="e">
        <f>AND(#REF!,"AAAAAC//D+U=")</f>
        <v>#REF!</v>
      </c>
      <c r="HW66" t="e">
        <f>AND(#REF!,"AAAAAC//D+Y=")</f>
        <v>#REF!</v>
      </c>
      <c r="HX66" t="e">
        <f>AND(#REF!,"AAAAAC//D+c=")</f>
        <v>#REF!</v>
      </c>
      <c r="HY66" t="e">
        <f>AND(#REF!,"AAAAAC//D+g=")</f>
        <v>#REF!</v>
      </c>
      <c r="HZ66" t="e">
        <f>AND(#REF!,"AAAAAC//D+k=")</f>
        <v>#REF!</v>
      </c>
      <c r="IA66" t="e">
        <f>AND(#REF!,"AAAAAC//D+o=")</f>
        <v>#REF!</v>
      </c>
      <c r="IB66" t="e">
        <f>AND(#REF!,"AAAAAC//D+s=")</f>
        <v>#REF!</v>
      </c>
      <c r="IC66" t="e">
        <f>AND(#REF!,"AAAAAC//D+w=")</f>
        <v>#REF!</v>
      </c>
      <c r="ID66" t="e">
        <f>AND(#REF!,"AAAAAC//D+0=")</f>
        <v>#REF!</v>
      </c>
      <c r="IE66" t="e">
        <f>IF(#REF!,"AAAAAC//D+4=",0)</f>
        <v>#REF!</v>
      </c>
      <c r="IF66" t="e">
        <f>AND(#REF!,"AAAAAC//D+8=")</f>
        <v>#REF!</v>
      </c>
      <c r="IG66" t="e">
        <f>AND(#REF!,"AAAAAC//D/A=")</f>
        <v>#REF!</v>
      </c>
      <c r="IH66" t="e">
        <f>AND(#REF!,"AAAAAC//D/E=")</f>
        <v>#REF!</v>
      </c>
      <c r="II66" t="e">
        <f>AND(#REF!,"AAAAAC//D/I=")</f>
        <v>#REF!</v>
      </c>
      <c r="IJ66" t="e">
        <f>AND(#REF!,"AAAAAC//D/M=")</f>
        <v>#REF!</v>
      </c>
      <c r="IK66" t="e">
        <f>AND(#REF!,"AAAAAC//D/Q=")</f>
        <v>#REF!</v>
      </c>
      <c r="IL66" t="e">
        <f>AND(#REF!,"AAAAAC//D/U=")</f>
        <v>#REF!</v>
      </c>
      <c r="IM66" t="e">
        <f>AND(#REF!,"AAAAAC//D/Y=")</f>
        <v>#REF!</v>
      </c>
      <c r="IN66" t="e">
        <f>AND(#REF!,"AAAAAC//D/c=")</f>
        <v>#REF!</v>
      </c>
      <c r="IO66" t="e">
        <f>AND(#REF!,"AAAAAC//D/g=")</f>
        <v>#REF!</v>
      </c>
      <c r="IP66" t="e">
        <f>AND(#REF!,"AAAAAC//D/k=")</f>
        <v>#REF!</v>
      </c>
      <c r="IQ66" t="e">
        <f>AND(#REF!,"AAAAAC//D/o=")</f>
        <v>#REF!</v>
      </c>
      <c r="IR66" t="e">
        <f>AND(#REF!,"AAAAAC//D/s=")</f>
        <v>#REF!</v>
      </c>
      <c r="IS66" t="e">
        <f>AND(#REF!,"AAAAAC//D/w=")</f>
        <v>#REF!</v>
      </c>
      <c r="IT66" t="e">
        <f>AND(#REF!,"AAAAAC//D/0=")</f>
        <v>#REF!</v>
      </c>
      <c r="IU66" t="e">
        <f>AND(#REF!,"AAAAAC//D/4=")</f>
        <v>#REF!</v>
      </c>
      <c r="IV66" t="e">
        <f>IF(#REF!,"AAAAAC//D/8=",0)</f>
        <v>#REF!</v>
      </c>
    </row>
    <row r="67" spans="1:256" x14ac:dyDescent="0.25">
      <c r="A67" t="e">
        <f>AND(#REF!,"AAAAAH6g7wA=")</f>
        <v>#REF!</v>
      </c>
      <c r="B67" t="e">
        <f>AND(#REF!,"AAAAAH6g7wE=")</f>
        <v>#REF!</v>
      </c>
      <c r="C67" t="e">
        <f>AND(#REF!,"AAAAAH6g7wI=")</f>
        <v>#REF!</v>
      </c>
      <c r="D67" t="e">
        <f>AND(#REF!,"AAAAAH6g7wM=")</f>
        <v>#REF!</v>
      </c>
      <c r="E67" t="e">
        <f>AND(#REF!,"AAAAAH6g7wQ=")</f>
        <v>#REF!</v>
      </c>
      <c r="F67" t="e">
        <f>AND(#REF!,"AAAAAH6g7wU=")</f>
        <v>#REF!</v>
      </c>
      <c r="G67" t="e">
        <f>AND(#REF!,"AAAAAH6g7wY=")</f>
        <v>#REF!</v>
      </c>
      <c r="H67" t="e">
        <f>AND(#REF!,"AAAAAH6g7wc=")</f>
        <v>#REF!</v>
      </c>
      <c r="I67" t="e">
        <f>AND(#REF!,"AAAAAH6g7wg=")</f>
        <v>#REF!</v>
      </c>
      <c r="J67" t="e">
        <f>AND(#REF!,"AAAAAH6g7wk=")</f>
        <v>#REF!</v>
      </c>
      <c r="K67" t="e">
        <f>AND(#REF!,"AAAAAH6g7wo=")</f>
        <v>#REF!</v>
      </c>
      <c r="L67" t="e">
        <f>AND(#REF!,"AAAAAH6g7ws=")</f>
        <v>#REF!</v>
      </c>
      <c r="M67" t="e">
        <f>AND(#REF!,"AAAAAH6g7ww=")</f>
        <v>#REF!</v>
      </c>
      <c r="N67" t="e">
        <f>AND(#REF!,"AAAAAH6g7w0=")</f>
        <v>#REF!</v>
      </c>
      <c r="O67" t="e">
        <f>AND(#REF!,"AAAAAH6g7w4=")</f>
        <v>#REF!</v>
      </c>
      <c r="P67" t="e">
        <f>AND(#REF!,"AAAAAH6g7w8=")</f>
        <v>#REF!</v>
      </c>
      <c r="Q67" t="e">
        <f>IF(#REF!,"AAAAAH6g7xA=",0)</f>
        <v>#REF!</v>
      </c>
      <c r="R67" t="e">
        <f>AND(#REF!,"AAAAAH6g7xE=")</f>
        <v>#REF!</v>
      </c>
      <c r="S67" t="e">
        <f>AND(#REF!,"AAAAAH6g7xI=")</f>
        <v>#REF!</v>
      </c>
      <c r="T67" t="e">
        <f>AND(#REF!,"AAAAAH6g7xM=")</f>
        <v>#REF!</v>
      </c>
      <c r="U67" t="e">
        <f>AND(#REF!,"AAAAAH6g7xQ=")</f>
        <v>#REF!</v>
      </c>
      <c r="V67" t="e">
        <f>AND(#REF!,"AAAAAH6g7xU=")</f>
        <v>#REF!</v>
      </c>
      <c r="W67" t="e">
        <f>AND(#REF!,"AAAAAH6g7xY=")</f>
        <v>#REF!</v>
      </c>
      <c r="X67" t="e">
        <f>AND(#REF!,"AAAAAH6g7xc=")</f>
        <v>#REF!</v>
      </c>
      <c r="Y67" t="e">
        <f>AND(#REF!,"AAAAAH6g7xg=")</f>
        <v>#REF!</v>
      </c>
      <c r="Z67" t="e">
        <f>AND(#REF!,"AAAAAH6g7xk=")</f>
        <v>#REF!</v>
      </c>
      <c r="AA67" t="e">
        <f>AND(#REF!,"AAAAAH6g7xo=")</f>
        <v>#REF!</v>
      </c>
      <c r="AB67" t="e">
        <f>AND(#REF!,"AAAAAH6g7xs=")</f>
        <v>#REF!</v>
      </c>
      <c r="AC67" t="e">
        <f>AND(#REF!,"AAAAAH6g7xw=")</f>
        <v>#REF!</v>
      </c>
      <c r="AD67" t="e">
        <f>AND(#REF!,"AAAAAH6g7x0=")</f>
        <v>#REF!</v>
      </c>
      <c r="AE67" t="e">
        <f>AND(#REF!,"AAAAAH6g7x4=")</f>
        <v>#REF!</v>
      </c>
      <c r="AF67" t="e">
        <f>AND(#REF!,"AAAAAH6g7x8=")</f>
        <v>#REF!</v>
      </c>
      <c r="AG67" t="e">
        <f>AND(#REF!,"AAAAAH6g7yA=")</f>
        <v>#REF!</v>
      </c>
      <c r="AH67" t="e">
        <f>IF(#REF!,"AAAAAH6g7yE=",0)</f>
        <v>#REF!</v>
      </c>
      <c r="AI67" t="e">
        <f>AND(#REF!,"AAAAAH6g7yI=")</f>
        <v>#REF!</v>
      </c>
      <c r="AJ67" t="e">
        <f>AND(#REF!,"AAAAAH6g7yM=")</f>
        <v>#REF!</v>
      </c>
      <c r="AK67" t="e">
        <f>AND(#REF!,"AAAAAH6g7yQ=")</f>
        <v>#REF!</v>
      </c>
      <c r="AL67" t="e">
        <f>AND(#REF!,"AAAAAH6g7yU=")</f>
        <v>#REF!</v>
      </c>
      <c r="AM67" t="e">
        <f>AND(#REF!,"AAAAAH6g7yY=")</f>
        <v>#REF!</v>
      </c>
      <c r="AN67" t="e">
        <f>AND(#REF!,"AAAAAH6g7yc=")</f>
        <v>#REF!</v>
      </c>
      <c r="AO67" t="e">
        <f>AND(#REF!,"AAAAAH6g7yg=")</f>
        <v>#REF!</v>
      </c>
      <c r="AP67" t="e">
        <f>AND(#REF!,"AAAAAH6g7yk=")</f>
        <v>#REF!</v>
      </c>
      <c r="AQ67" t="e">
        <f>AND(#REF!,"AAAAAH6g7yo=")</f>
        <v>#REF!</v>
      </c>
      <c r="AR67" t="e">
        <f>AND(#REF!,"AAAAAH6g7ys=")</f>
        <v>#REF!</v>
      </c>
      <c r="AS67" t="e">
        <f>AND(#REF!,"AAAAAH6g7yw=")</f>
        <v>#REF!</v>
      </c>
      <c r="AT67" t="e">
        <f>AND(#REF!,"AAAAAH6g7y0=")</f>
        <v>#REF!</v>
      </c>
      <c r="AU67" t="e">
        <f>AND(#REF!,"AAAAAH6g7y4=")</f>
        <v>#REF!</v>
      </c>
      <c r="AV67" t="e">
        <f>AND(#REF!,"AAAAAH6g7y8=")</f>
        <v>#REF!</v>
      </c>
      <c r="AW67" t="e">
        <f>AND(#REF!,"AAAAAH6g7zA=")</f>
        <v>#REF!</v>
      </c>
      <c r="AX67" t="e">
        <f>AND(#REF!,"AAAAAH6g7zE=")</f>
        <v>#REF!</v>
      </c>
      <c r="AY67" t="e">
        <f>IF(#REF!,"AAAAAH6g7zI=",0)</f>
        <v>#REF!</v>
      </c>
      <c r="AZ67" t="e">
        <f>AND(#REF!,"AAAAAH6g7zM=")</f>
        <v>#REF!</v>
      </c>
      <c r="BA67" t="e">
        <f>AND(#REF!,"AAAAAH6g7zQ=")</f>
        <v>#REF!</v>
      </c>
      <c r="BB67" t="e">
        <f>AND(#REF!,"AAAAAH6g7zU=")</f>
        <v>#REF!</v>
      </c>
      <c r="BC67" t="e">
        <f>AND(#REF!,"AAAAAH6g7zY=")</f>
        <v>#REF!</v>
      </c>
      <c r="BD67" t="e">
        <f>AND(#REF!,"AAAAAH6g7zc=")</f>
        <v>#REF!</v>
      </c>
      <c r="BE67" t="e">
        <f>AND(#REF!,"AAAAAH6g7zg=")</f>
        <v>#REF!</v>
      </c>
      <c r="BF67" t="e">
        <f>AND(#REF!,"AAAAAH6g7zk=")</f>
        <v>#REF!</v>
      </c>
      <c r="BG67" t="e">
        <f>AND(#REF!,"AAAAAH6g7zo=")</f>
        <v>#REF!</v>
      </c>
      <c r="BH67" t="e">
        <f>AND(#REF!,"AAAAAH6g7zs=")</f>
        <v>#REF!</v>
      </c>
      <c r="BI67" t="e">
        <f>AND(#REF!,"AAAAAH6g7zw=")</f>
        <v>#REF!</v>
      </c>
      <c r="BJ67" t="e">
        <f>AND(#REF!,"AAAAAH6g7z0=")</f>
        <v>#REF!</v>
      </c>
      <c r="BK67" t="e">
        <f>AND(#REF!,"AAAAAH6g7z4=")</f>
        <v>#REF!</v>
      </c>
      <c r="BL67" t="e">
        <f>AND(#REF!,"AAAAAH6g7z8=")</f>
        <v>#REF!</v>
      </c>
      <c r="BM67" t="e">
        <f>AND(#REF!,"AAAAAH6g70A=")</f>
        <v>#REF!</v>
      </c>
      <c r="BN67" t="e">
        <f>AND(#REF!,"AAAAAH6g70E=")</f>
        <v>#REF!</v>
      </c>
      <c r="BO67" t="e">
        <f>AND(#REF!,"AAAAAH6g70I=")</f>
        <v>#REF!</v>
      </c>
      <c r="BP67" t="e">
        <f>IF(#REF!,"AAAAAH6g70M=",0)</f>
        <v>#REF!</v>
      </c>
      <c r="BQ67" t="e">
        <f>AND(#REF!,"AAAAAH6g70Q=")</f>
        <v>#REF!</v>
      </c>
      <c r="BR67" t="e">
        <f>AND(#REF!,"AAAAAH6g70U=")</f>
        <v>#REF!</v>
      </c>
      <c r="BS67" t="e">
        <f>AND(#REF!,"AAAAAH6g70Y=")</f>
        <v>#REF!</v>
      </c>
      <c r="BT67" t="e">
        <f>AND(#REF!,"AAAAAH6g70c=")</f>
        <v>#REF!</v>
      </c>
      <c r="BU67" t="e">
        <f>AND(#REF!,"AAAAAH6g70g=")</f>
        <v>#REF!</v>
      </c>
      <c r="BV67" t="e">
        <f>AND(#REF!,"AAAAAH6g70k=")</f>
        <v>#REF!</v>
      </c>
      <c r="BW67" t="e">
        <f>AND(#REF!,"AAAAAH6g70o=")</f>
        <v>#REF!</v>
      </c>
      <c r="BX67" t="e">
        <f>AND(#REF!,"AAAAAH6g70s=")</f>
        <v>#REF!</v>
      </c>
      <c r="BY67" t="e">
        <f>AND(#REF!,"AAAAAH6g70w=")</f>
        <v>#REF!</v>
      </c>
      <c r="BZ67" t="e">
        <f>AND(#REF!,"AAAAAH6g700=")</f>
        <v>#REF!</v>
      </c>
      <c r="CA67" t="e">
        <f>AND(#REF!,"AAAAAH6g704=")</f>
        <v>#REF!</v>
      </c>
      <c r="CB67" t="e">
        <f>AND(#REF!,"AAAAAH6g708=")</f>
        <v>#REF!</v>
      </c>
      <c r="CC67" t="e">
        <f>AND(#REF!,"AAAAAH6g71A=")</f>
        <v>#REF!</v>
      </c>
      <c r="CD67" t="e">
        <f>AND(#REF!,"AAAAAH6g71E=")</f>
        <v>#REF!</v>
      </c>
      <c r="CE67" t="e">
        <f>AND(#REF!,"AAAAAH6g71I=")</f>
        <v>#REF!</v>
      </c>
      <c r="CF67" t="e">
        <f>AND(#REF!,"AAAAAH6g71M=")</f>
        <v>#REF!</v>
      </c>
      <c r="CG67" t="e">
        <f>IF(#REF!,"AAAAAH6g71Q=",0)</f>
        <v>#REF!</v>
      </c>
      <c r="CH67" t="e">
        <f>AND(#REF!,"AAAAAH6g71U=")</f>
        <v>#REF!</v>
      </c>
      <c r="CI67" t="e">
        <f>AND(#REF!,"AAAAAH6g71Y=")</f>
        <v>#REF!</v>
      </c>
      <c r="CJ67" t="e">
        <f>AND(#REF!,"AAAAAH6g71c=")</f>
        <v>#REF!</v>
      </c>
      <c r="CK67" t="e">
        <f>AND(#REF!,"AAAAAH6g71g=")</f>
        <v>#REF!</v>
      </c>
      <c r="CL67" t="e">
        <f>AND(#REF!,"AAAAAH6g71k=")</f>
        <v>#REF!</v>
      </c>
      <c r="CM67" t="e">
        <f>AND(#REF!,"AAAAAH6g71o=")</f>
        <v>#REF!</v>
      </c>
      <c r="CN67" t="e">
        <f>AND(#REF!,"AAAAAH6g71s=")</f>
        <v>#REF!</v>
      </c>
      <c r="CO67" t="e">
        <f>AND(#REF!,"AAAAAH6g71w=")</f>
        <v>#REF!</v>
      </c>
      <c r="CP67" t="e">
        <f>AND(#REF!,"AAAAAH6g710=")</f>
        <v>#REF!</v>
      </c>
      <c r="CQ67" t="e">
        <f>AND(#REF!,"AAAAAH6g714=")</f>
        <v>#REF!</v>
      </c>
      <c r="CR67" t="e">
        <f>AND(#REF!,"AAAAAH6g718=")</f>
        <v>#REF!</v>
      </c>
      <c r="CS67" t="e">
        <f>AND(#REF!,"AAAAAH6g72A=")</f>
        <v>#REF!</v>
      </c>
      <c r="CT67" t="e">
        <f>AND(#REF!,"AAAAAH6g72E=")</f>
        <v>#REF!</v>
      </c>
      <c r="CU67" t="e">
        <f>AND(#REF!,"AAAAAH6g72I=")</f>
        <v>#REF!</v>
      </c>
      <c r="CV67" t="e">
        <f>AND(#REF!,"AAAAAH6g72M=")</f>
        <v>#REF!</v>
      </c>
      <c r="CW67" t="e">
        <f>AND(#REF!,"AAAAAH6g72Q=")</f>
        <v>#REF!</v>
      </c>
      <c r="CX67" t="e">
        <f>IF(#REF!,"AAAAAH6g72U=",0)</f>
        <v>#REF!</v>
      </c>
      <c r="CY67" t="e">
        <f>AND(#REF!,"AAAAAH6g72Y=")</f>
        <v>#REF!</v>
      </c>
      <c r="CZ67" t="e">
        <f>AND(#REF!,"AAAAAH6g72c=")</f>
        <v>#REF!</v>
      </c>
      <c r="DA67" t="e">
        <f>AND(#REF!,"AAAAAH6g72g=")</f>
        <v>#REF!</v>
      </c>
      <c r="DB67" t="e">
        <f>AND(#REF!,"AAAAAH6g72k=")</f>
        <v>#REF!</v>
      </c>
      <c r="DC67" t="e">
        <f>AND(#REF!,"AAAAAH6g72o=")</f>
        <v>#REF!</v>
      </c>
      <c r="DD67" t="e">
        <f>AND(#REF!,"AAAAAH6g72s=")</f>
        <v>#REF!</v>
      </c>
      <c r="DE67" t="e">
        <f>AND(#REF!,"AAAAAH6g72w=")</f>
        <v>#REF!</v>
      </c>
      <c r="DF67" t="e">
        <f>AND(#REF!,"AAAAAH6g720=")</f>
        <v>#REF!</v>
      </c>
      <c r="DG67" t="e">
        <f>AND(#REF!,"AAAAAH6g724=")</f>
        <v>#REF!</v>
      </c>
      <c r="DH67" t="e">
        <f>AND(#REF!,"AAAAAH6g728=")</f>
        <v>#REF!</v>
      </c>
      <c r="DI67" t="e">
        <f>AND(#REF!,"AAAAAH6g73A=")</f>
        <v>#REF!</v>
      </c>
      <c r="DJ67" t="e">
        <f>AND(#REF!,"AAAAAH6g73E=")</f>
        <v>#REF!</v>
      </c>
      <c r="DK67" t="e">
        <f>AND(#REF!,"AAAAAH6g73I=")</f>
        <v>#REF!</v>
      </c>
      <c r="DL67" t="e">
        <f>AND(#REF!,"AAAAAH6g73M=")</f>
        <v>#REF!</v>
      </c>
      <c r="DM67" t="e">
        <f>AND(#REF!,"AAAAAH6g73Q=")</f>
        <v>#REF!</v>
      </c>
      <c r="DN67" t="e">
        <f>AND(#REF!,"AAAAAH6g73U=")</f>
        <v>#REF!</v>
      </c>
      <c r="DO67" t="e">
        <f>IF(#REF!,"AAAAAH6g73Y=",0)</f>
        <v>#REF!</v>
      </c>
      <c r="DP67" t="e">
        <f>AND(#REF!,"AAAAAH6g73c=")</f>
        <v>#REF!</v>
      </c>
      <c r="DQ67" t="e">
        <f>AND(#REF!,"AAAAAH6g73g=")</f>
        <v>#REF!</v>
      </c>
      <c r="DR67" t="e">
        <f>AND(#REF!,"AAAAAH6g73k=")</f>
        <v>#REF!</v>
      </c>
      <c r="DS67" t="e">
        <f>AND(#REF!,"AAAAAH6g73o=")</f>
        <v>#REF!</v>
      </c>
      <c r="DT67" t="e">
        <f>AND(#REF!,"AAAAAH6g73s=")</f>
        <v>#REF!</v>
      </c>
      <c r="DU67" t="e">
        <f>AND(#REF!,"AAAAAH6g73w=")</f>
        <v>#REF!</v>
      </c>
      <c r="DV67" t="e">
        <f>AND(#REF!,"AAAAAH6g730=")</f>
        <v>#REF!</v>
      </c>
      <c r="DW67" t="e">
        <f>AND(#REF!,"AAAAAH6g734=")</f>
        <v>#REF!</v>
      </c>
      <c r="DX67" t="e">
        <f>AND(#REF!,"AAAAAH6g738=")</f>
        <v>#REF!</v>
      </c>
      <c r="DY67" t="e">
        <f>AND(#REF!,"AAAAAH6g74A=")</f>
        <v>#REF!</v>
      </c>
      <c r="DZ67" t="e">
        <f>AND(#REF!,"AAAAAH6g74E=")</f>
        <v>#REF!</v>
      </c>
      <c r="EA67" t="e">
        <f>AND(#REF!,"AAAAAH6g74I=")</f>
        <v>#REF!</v>
      </c>
      <c r="EB67" t="e">
        <f>AND(#REF!,"AAAAAH6g74M=")</f>
        <v>#REF!</v>
      </c>
      <c r="EC67" t="e">
        <f>AND(#REF!,"AAAAAH6g74Q=")</f>
        <v>#REF!</v>
      </c>
      <c r="ED67" t="e">
        <f>AND(#REF!,"AAAAAH6g74U=")</f>
        <v>#REF!</v>
      </c>
      <c r="EE67" t="e">
        <f>AND(#REF!,"AAAAAH6g74Y=")</f>
        <v>#REF!</v>
      </c>
      <c r="EF67" t="e">
        <f>IF(#REF!,"AAAAAH6g74c=",0)</f>
        <v>#REF!</v>
      </c>
      <c r="EG67" t="e">
        <f>AND(#REF!,"AAAAAH6g74g=")</f>
        <v>#REF!</v>
      </c>
      <c r="EH67" t="e">
        <f>AND(#REF!,"AAAAAH6g74k=")</f>
        <v>#REF!</v>
      </c>
      <c r="EI67" t="e">
        <f>AND(#REF!,"AAAAAH6g74o=")</f>
        <v>#REF!</v>
      </c>
      <c r="EJ67" t="e">
        <f>AND(#REF!,"AAAAAH6g74s=")</f>
        <v>#REF!</v>
      </c>
      <c r="EK67" t="e">
        <f>AND(#REF!,"AAAAAH6g74w=")</f>
        <v>#REF!</v>
      </c>
      <c r="EL67" t="e">
        <f>AND(#REF!,"AAAAAH6g740=")</f>
        <v>#REF!</v>
      </c>
      <c r="EM67" t="e">
        <f>AND(#REF!,"AAAAAH6g744=")</f>
        <v>#REF!</v>
      </c>
      <c r="EN67" t="e">
        <f>AND(#REF!,"AAAAAH6g748=")</f>
        <v>#REF!</v>
      </c>
      <c r="EO67" t="e">
        <f>AND(#REF!,"AAAAAH6g75A=")</f>
        <v>#REF!</v>
      </c>
      <c r="EP67" t="e">
        <f>AND(#REF!,"AAAAAH6g75E=")</f>
        <v>#REF!</v>
      </c>
      <c r="EQ67" t="e">
        <f>AND(#REF!,"AAAAAH6g75I=")</f>
        <v>#REF!</v>
      </c>
      <c r="ER67" t="e">
        <f>AND(#REF!,"AAAAAH6g75M=")</f>
        <v>#REF!</v>
      </c>
      <c r="ES67" t="e">
        <f>AND(#REF!,"AAAAAH6g75Q=")</f>
        <v>#REF!</v>
      </c>
      <c r="ET67" t="e">
        <f>AND(#REF!,"AAAAAH6g75U=")</f>
        <v>#REF!</v>
      </c>
      <c r="EU67" t="e">
        <f>AND(#REF!,"AAAAAH6g75Y=")</f>
        <v>#REF!</v>
      </c>
      <c r="EV67" t="e">
        <f>AND(#REF!,"AAAAAH6g75c=")</f>
        <v>#REF!</v>
      </c>
      <c r="EW67" t="e">
        <f>IF(#REF!,"AAAAAH6g75g=",0)</f>
        <v>#REF!</v>
      </c>
      <c r="EX67" t="e">
        <f>AND(#REF!,"AAAAAH6g75k=")</f>
        <v>#REF!</v>
      </c>
      <c r="EY67" t="e">
        <f>AND(#REF!,"AAAAAH6g75o=")</f>
        <v>#REF!</v>
      </c>
      <c r="EZ67" t="e">
        <f>AND(#REF!,"AAAAAH6g75s=")</f>
        <v>#REF!</v>
      </c>
      <c r="FA67" t="e">
        <f>AND(#REF!,"AAAAAH6g75w=")</f>
        <v>#REF!</v>
      </c>
      <c r="FB67" t="e">
        <f>AND(#REF!,"AAAAAH6g750=")</f>
        <v>#REF!</v>
      </c>
      <c r="FC67" t="e">
        <f>AND(#REF!,"AAAAAH6g754=")</f>
        <v>#REF!</v>
      </c>
      <c r="FD67" t="e">
        <f>AND(#REF!,"AAAAAH6g758=")</f>
        <v>#REF!</v>
      </c>
      <c r="FE67" t="e">
        <f>AND(#REF!,"AAAAAH6g76A=")</f>
        <v>#REF!</v>
      </c>
      <c r="FF67" t="e">
        <f>AND(#REF!,"AAAAAH6g76E=")</f>
        <v>#REF!</v>
      </c>
      <c r="FG67" t="e">
        <f>AND(#REF!,"AAAAAH6g76I=")</f>
        <v>#REF!</v>
      </c>
      <c r="FH67" t="e">
        <f>AND(#REF!,"AAAAAH6g76M=")</f>
        <v>#REF!</v>
      </c>
      <c r="FI67" t="e">
        <f>AND(#REF!,"AAAAAH6g76Q=")</f>
        <v>#REF!</v>
      </c>
      <c r="FJ67" t="e">
        <f>AND(#REF!,"AAAAAH6g76U=")</f>
        <v>#REF!</v>
      </c>
      <c r="FK67" t="e">
        <f>AND(#REF!,"AAAAAH6g76Y=")</f>
        <v>#REF!</v>
      </c>
      <c r="FL67" t="e">
        <f>AND(#REF!,"AAAAAH6g76c=")</f>
        <v>#REF!</v>
      </c>
      <c r="FM67" t="e">
        <f>AND(#REF!,"AAAAAH6g76g=")</f>
        <v>#REF!</v>
      </c>
      <c r="FN67" t="e">
        <f>IF(#REF!,"AAAAAH6g76k=",0)</f>
        <v>#REF!</v>
      </c>
      <c r="FO67" t="e">
        <f>AND(#REF!,"AAAAAH6g76o=")</f>
        <v>#REF!</v>
      </c>
      <c r="FP67" t="e">
        <f>AND(#REF!,"AAAAAH6g76s=")</f>
        <v>#REF!</v>
      </c>
      <c r="FQ67" t="e">
        <f>AND(#REF!,"AAAAAH6g76w=")</f>
        <v>#REF!</v>
      </c>
      <c r="FR67" t="e">
        <f>AND(#REF!,"AAAAAH6g760=")</f>
        <v>#REF!</v>
      </c>
      <c r="FS67" t="e">
        <f>AND(#REF!,"AAAAAH6g764=")</f>
        <v>#REF!</v>
      </c>
      <c r="FT67" t="e">
        <f>AND(#REF!,"AAAAAH6g768=")</f>
        <v>#REF!</v>
      </c>
      <c r="FU67" t="e">
        <f>AND(#REF!,"AAAAAH6g77A=")</f>
        <v>#REF!</v>
      </c>
      <c r="FV67" t="e">
        <f>AND(#REF!,"AAAAAH6g77E=")</f>
        <v>#REF!</v>
      </c>
      <c r="FW67" t="e">
        <f>AND(#REF!,"AAAAAH6g77I=")</f>
        <v>#REF!</v>
      </c>
      <c r="FX67" t="e">
        <f>AND(#REF!,"AAAAAH6g77M=")</f>
        <v>#REF!</v>
      </c>
      <c r="FY67" t="e">
        <f>AND(#REF!,"AAAAAH6g77Q=")</f>
        <v>#REF!</v>
      </c>
      <c r="FZ67" t="e">
        <f>AND(#REF!,"AAAAAH6g77U=")</f>
        <v>#REF!</v>
      </c>
      <c r="GA67" t="e">
        <f>AND(#REF!,"AAAAAH6g77Y=")</f>
        <v>#REF!</v>
      </c>
      <c r="GB67" t="e">
        <f>AND(#REF!,"AAAAAH6g77c=")</f>
        <v>#REF!</v>
      </c>
      <c r="GC67" t="e">
        <f>AND(#REF!,"AAAAAH6g77g=")</f>
        <v>#REF!</v>
      </c>
      <c r="GD67" t="e">
        <f>AND(#REF!,"AAAAAH6g77k=")</f>
        <v>#REF!</v>
      </c>
      <c r="GE67" t="e">
        <f>IF(#REF!,"AAAAAH6g77o=",0)</f>
        <v>#REF!</v>
      </c>
      <c r="GF67" t="e">
        <f>AND(#REF!,"AAAAAH6g77s=")</f>
        <v>#REF!</v>
      </c>
      <c r="GG67" t="e">
        <f>AND(#REF!,"AAAAAH6g77w=")</f>
        <v>#REF!</v>
      </c>
      <c r="GH67" t="e">
        <f>AND(#REF!,"AAAAAH6g770=")</f>
        <v>#REF!</v>
      </c>
      <c r="GI67" t="e">
        <f>AND(#REF!,"AAAAAH6g774=")</f>
        <v>#REF!</v>
      </c>
      <c r="GJ67" t="e">
        <f>AND(#REF!,"AAAAAH6g778=")</f>
        <v>#REF!</v>
      </c>
      <c r="GK67" t="e">
        <f>AND(#REF!,"AAAAAH6g78A=")</f>
        <v>#REF!</v>
      </c>
      <c r="GL67" t="e">
        <f>AND(#REF!,"AAAAAH6g78E=")</f>
        <v>#REF!</v>
      </c>
      <c r="GM67" t="e">
        <f>AND(#REF!,"AAAAAH6g78I=")</f>
        <v>#REF!</v>
      </c>
      <c r="GN67" t="e">
        <f>AND(#REF!,"AAAAAH6g78M=")</f>
        <v>#REF!</v>
      </c>
      <c r="GO67" t="e">
        <f>AND(#REF!,"AAAAAH6g78Q=")</f>
        <v>#REF!</v>
      </c>
      <c r="GP67" t="e">
        <f>AND(#REF!,"AAAAAH6g78U=")</f>
        <v>#REF!</v>
      </c>
      <c r="GQ67" t="e">
        <f>AND(#REF!,"AAAAAH6g78Y=")</f>
        <v>#REF!</v>
      </c>
      <c r="GR67" t="e">
        <f>AND(#REF!,"AAAAAH6g78c=")</f>
        <v>#REF!</v>
      </c>
      <c r="GS67" t="e">
        <f>AND(#REF!,"AAAAAH6g78g=")</f>
        <v>#REF!</v>
      </c>
      <c r="GT67" t="e">
        <f>AND(#REF!,"AAAAAH6g78k=")</f>
        <v>#REF!</v>
      </c>
      <c r="GU67" t="e">
        <f>AND(#REF!,"AAAAAH6g78o=")</f>
        <v>#REF!</v>
      </c>
      <c r="GV67" t="e">
        <f>IF(#REF!,"AAAAAH6g78s=",0)</f>
        <v>#REF!</v>
      </c>
      <c r="GW67" t="e">
        <f>AND(#REF!,"AAAAAH6g78w=")</f>
        <v>#REF!</v>
      </c>
      <c r="GX67" t="e">
        <f>AND(#REF!,"AAAAAH6g780=")</f>
        <v>#REF!</v>
      </c>
      <c r="GY67" t="e">
        <f>AND(#REF!,"AAAAAH6g784=")</f>
        <v>#REF!</v>
      </c>
      <c r="GZ67" t="e">
        <f>AND(#REF!,"AAAAAH6g788=")</f>
        <v>#REF!</v>
      </c>
      <c r="HA67" t="e">
        <f>AND(#REF!,"AAAAAH6g79A=")</f>
        <v>#REF!</v>
      </c>
      <c r="HB67" t="e">
        <f>AND(#REF!,"AAAAAH6g79E=")</f>
        <v>#REF!</v>
      </c>
      <c r="HC67" t="e">
        <f>AND(#REF!,"AAAAAH6g79I=")</f>
        <v>#REF!</v>
      </c>
      <c r="HD67" t="e">
        <f>AND(#REF!,"AAAAAH6g79M=")</f>
        <v>#REF!</v>
      </c>
      <c r="HE67" t="e">
        <f>AND(#REF!,"AAAAAH6g79Q=")</f>
        <v>#REF!</v>
      </c>
      <c r="HF67" t="e">
        <f>AND(#REF!,"AAAAAH6g79U=")</f>
        <v>#REF!</v>
      </c>
      <c r="HG67" t="e">
        <f>AND(#REF!,"AAAAAH6g79Y=")</f>
        <v>#REF!</v>
      </c>
      <c r="HH67" t="e">
        <f>AND(#REF!,"AAAAAH6g79c=")</f>
        <v>#REF!</v>
      </c>
      <c r="HI67" t="e">
        <f>AND(#REF!,"AAAAAH6g79g=")</f>
        <v>#REF!</v>
      </c>
      <c r="HJ67" t="e">
        <f>AND(#REF!,"AAAAAH6g79k=")</f>
        <v>#REF!</v>
      </c>
      <c r="HK67" t="e">
        <f>AND(#REF!,"AAAAAH6g79o=")</f>
        <v>#REF!</v>
      </c>
      <c r="HL67" t="e">
        <f>AND(#REF!,"AAAAAH6g79s=")</f>
        <v>#REF!</v>
      </c>
      <c r="HM67" t="e">
        <f>IF(#REF!,"AAAAAH6g79w=",0)</f>
        <v>#REF!</v>
      </c>
      <c r="HN67" t="e">
        <f>AND(#REF!,"AAAAAH6g790=")</f>
        <v>#REF!</v>
      </c>
      <c r="HO67" t="e">
        <f>AND(#REF!,"AAAAAH6g794=")</f>
        <v>#REF!</v>
      </c>
      <c r="HP67" t="e">
        <f>AND(#REF!,"AAAAAH6g798=")</f>
        <v>#REF!</v>
      </c>
      <c r="HQ67" t="e">
        <f>AND(#REF!,"AAAAAH6g7+A=")</f>
        <v>#REF!</v>
      </c>
      <c r="HR67" t="e">
        <f>AND(#REF!,"AAAAAH6g7+E=")</f>
        <v>#REF!</v>
      </c>
      <c r="HS67" t="e">
        <f>AND(#REF!,"AAAAAH6g7+I=")</f>
        <v>#REF!</v>
      </c>
      <c r="HT67" t="e">
        <f>AND(#REF!,"AAAAAH6g7+M=")</f>
        <v>#REF!</v>
      </c>
      <c r="HU67" t="e">
        <f>AND(#REF!,"AAAAAH6g7+Q=")</f>
        <v>#REF!</v>
      </c>
      <c r="HV67" t="e">
        <f>AND(#REF!,"AAAAAH6g7+U=")</f>
        <v>#REF!</v>
      </c>
      <c r="HW67" t="e">
        <f>AND(#REF!,"AAAAAH6g7+Y=")</f>
        <v>#REF!</v>
      </c>
      <c r="HX67" t="e">
        <f>AND(#REF!,"AAAAAH6g7+c=")</f>
        <v>#REF!</v>
      </c>
      <c r="HY67" t="e">
        <f>AND(#REF!,"AAAAAH6g7+g=")</f>
        <v>#REF!</v>
      </c>
      <c r="HZ67" t="e">
        <f>AND(#REF!,"AAAAAH6g7+k=")</f>
        <v>#REF!</v>
      </c>
      <c r="IA67" t="e">
        <f>AND(#REF!,"AAAAAH6g7+o=")</f>
        <v>#REF!</v>
      </c>
      <c r="IB67" t="e">
        <f>AND(#REF!,"AAAAAH6g7+s=")</f>
        <v>#REF!</v>
      </c>
      <c r="IC67" t="e">
        <f>AND(#REF!,"AAAAAH6g7+w=")</f>
        <v>#REF!</v>
      </c>
      <c r="ID67" t="e">
        <f>IF(#REF!,"AAAAAH6g7+0=",0)</f>
        <v>#REF!</v>
      </c>
      <c r="IE67" t="e">
        <f>AND(#REF!,"AAAAAH6g7+4=")</f>
        <v>#REF!</v>
      </c>
      <c r="IF67" t="e">
        <f>AND(#REF!,"AAAAAH6g7+8=")</f>
        <v>#REF!</v>
      </c>
      <c r="IG67" t="e">
        <f>AND(#REF!,"AAAAAH6g7/A=")</f>
        <v>#REF!</v>
      </c>
      <c r="IH67" t="e">
        <f>AND(#REF!,"AAAAAH6g7/E=")</f>
        <v>#REF!</v>
      </c>
      <c r="II67" t="e">
        <f>AND(#REF!,"AAAAAH6g7/I=")</f>
        <v>#REF!</v>
      </c>
      <c r="IJ67" t="e">
        <f>AND(#REF!,"AAAAAH6g7/M=")</f>
        <v>#REF!</v>
      </c>
      <c r="IK67" t="e">
        <f>AND(#REF!,"AAAAAH6g7/Q=")</f>
        <v>#REF!</v>
      </c>
      <c r="IL67" t="e">
        <f>AND(#REF!,"AAAAAH6g7/U=")</f>
        <v>#REF!</v>
      </c>
      <c r="IM67" t="e">
        <f>AND(#REF!,"AAAAAH6g7/Y=")</f>
        <v>#REF!</v>
      </c>
      <c r="IN67" t="e">
        <f>AND(#REF!,"AAAAAH6g7/c=")</f>
        <v>#REF!</v>
      </c>
      <c r="IO67" t="e">
        <f>AND(#REF!,"AAAAAH6g7/g=")</f>
        <v>#REF!</v>
      </c>
      <c r="IP67" t="e">
        <f>AND(#REF!,"AAAAAH6g7/k=")</f>
        <v>#REF!</v>
      </c>
      <c r="IQ67" t="e">
        <f>AND(#REF!,"AAAAAH6g7/o=")</f>
        <v>#REF!</v>
      </c>
      <c r="IR67" t="e">
        <f>AND(#REF!,"AAAAAH6g7/s=")</f>
        <v>#REF!</v>
      </c>
      <c r="IS67" t="e">
        <f>AND(#REF!,"AAAAAH6g7/w=")</f>
        <v>#REF!</v>
      </c>
      <c r="IT67" t="e">
        <f>AND(#REF!,"AAAAAH6g7/0=")</f>
        <v>#REF!</v>
      </c>
      <c r="IU67" t="e">
        <f>IF(#REF!,"AAAAAH6g7/4=",0)</f>
        <v>#REF!</v>
      </c>
      <c r="IV67" t="e">
        <f>AND(#REF!,"AAAAAH6g7/8=")</f>
        <v>#REF!</v>
      </c>
    </row>
    <row r="68" spans="1:256" x14ac:dyDescent="0.25">
      <c r="A68" t="e">
        <f>AND(#REF!,"AAAAAHz75wA=")</f>
        <v>#REF!</v>
      </c>
      <c r="B68" t="e">
        <f>AND(#REF!,"AAAAAHz75wE=")</f>
        <v>#REF!</v>
      </c>
      <c r="C68" t="e">
        <f>AND(#REF!,"AAAAAHz75wI=")</f>
        <v>#REF!</v>
      </c>
      <c r="D68" t="e">
        <f>AND(#REF!,"AAAAAHz75wM=")</f>
        <v>#REF!</v>
      </c>
      <c r="E68" t="e">
        <f>AND(#REF!,"AAAAAHz75wQ=")</f>
        <v>#REF!</v>
      </c>
      <c r="F68" t="e">
        <f>AND(#REF!,"AAAAAHz75wU=")</f>
        <v>#REF!</v>
      </c>
      <c r="G68" t="e">
        <f>AND(#REF!,"AAAAAHz75wY=")</f>
        <v>#REF!</v>
      </c>
      <c r="H68" t="e">
        <f>AND(#REF!,"AAAAAHz75wc=")</f>
        <v>#REF!</v>
      </c>
      <c r="I68" t="e">
        <f>AND(#REF!,"AAAAAHz75wg=")</f>
        <v>#REF!</v>
      </c>
      <c r="J68" t="e">
        <f>AND(#REF!,"AAAAAHz75wk=")</f>
        <v>#REF!</v>
      </c>
      <c r="K68" t="e">
        <f>AND(#REF!,"AAAAAHz75wo=")</f>
        <v>#REF!</v>
      </c>
      <c r="L68" t="e">
        <f>AND(#REF!,"AAAAAHz75ws=")</f>
        <v>#REF!</v>
      </c>
      <c r="M68" t="e">
        <f>AND(#REF!,"AAAAAHz75ww=")</f>
        <v>#REF!</v>
      </c>
      <c r="N68" t="e">
        <f>AND(#REF!,"AAAAAHz75w0=")</f>
        <v>#REF!</v>
      </c>
      <c r="O68" t="e">
        <f>AND(#REF!,"AAAAAHz75w4=")</f>
        <v>#REF!</v>
      </c>
      <c r="P68" t="e">
        <f>IF(#REF!,"AAAAAHz75w8=",0)</f>
        <v>#REF!</v>
      </c>
      <c r="Q68" t="e">
        <f>AND(#REF!,"AAAAAHz75xA=")</f>
        <v>#REF!</v>
      </c>
      <c r="R68" t="e">
        <f>AND(#REF!,"AAAAAHz75xE=")</f>
        <v>#REF!</v>
      </c>
      <c r="S68" t="e">
        <f>AND(#REF!,"AAAAAHz75xI=")</f>
        <v>#REF!</v>
      </c>
      <c r="T68" t="e">
        <f>AND(#REF!,"AAAAAHz75xM=")</f>
        <v>#REF!</v>
      </c>
      <c r="U68" t="e">
        <f>AND(#REF!,"AAAAAHz75xQ=")</f>
        <v>#REF!</v>
      </c>
      <c r="V68" t="e">
        <f>AND(#REF!,"AAAAAHz75xU=")</f>
        <v>#REF!</v>
      </c>
      <c r="W68" t="e">
        <f>AND(#REF!,"AAAAAHz75xY=")</f>
        <v>#REF!</v>
      </c>
      <c r="X68" t="e">
        <f>AND(#REF!,"AAAAAHz75xc=")</f>
        <v>#REF!</v>
      </c>
      <c r="Y68" t="e">
        <f>AND(#REF!,"AAAAAHz75xg=")</f>
        <v>#REF!</v>
      </c>
      <c r="Z68" t="e">
        <f>AND(#REF!,"AAAAAHz75xk=")</f>
        <v>#REF!</v>
      </c>
      <c r="AA68" t="e">
        <f>AND(#REF!,"AAAAAHz75xo=")</f>
        <v>#REF!</v>
      </c>
      <c r="AB68" t="e">
        <f>AND(#REF!,"AAAAAHz75xs=")</f>
        <v>#REF!</v>
      </c>
      <c r="AC68" t="e">
        <f>AND(#REF!,"AAAAAHz75xw=")</f>
        <v>#REF!</v>
      </c>
      <c r="AD68" t="e">
        <f>AND(#REF!,"AAAAAHz75x0=")</f>
        <v>#REF!</v>
      </c>
      <c r="AE68" t="e">
        <f>AND(#REF!,"AAAAAHz75x4=")</f>
        <v>#REF!</v>
      </c>
      <c r="AF68" t="e">
        <f>AND(#REF!,"AAAAAHz75x8=")</f>
        <v>#REF!</v>
      </c>
      <c r="AG68" t="e">
        <f>IF(#REF!,"AAAAAHz75yA=",0)</f>
        <v>#REF!</v>
      </c>
      <c r="AH68" t="e">
        <f>AND(#REF!,"AAAAAHz75yE=")</f>
        <v>#REF!</v>
      </c>
      <c r="AI68" t="e">
        <f>AND(#REF!,"AAAAAHz75yI=")</f>
        <v>#REF!</v>
      </c>
      <c r="AJ68" t="e">
        <f>AND(#REF!,"AAAAAHz75yM=")</f>
        <v>#REF!</v>
      </c>
      <c r="AK68" t="e">
        <f>AND(#REF!,"AAAAAHz75yQ=")</f>
        <v>#REF!</v>
      </c>
      <c r="AL68" t="e">
        <f>AND(#REF!,"AAAAAHz75yU=")</f>
        <v>#REF!</v>
      </c>
      <c r="AM68" t="e">
        <f>AND(#REF!,"AAAAAHz75yY=")</f>
        <v>#REF!</v>
      </c>
      <c r="AN68" t="e">
        <f>AND(#REF!,"AAAAAHz75yc=")</f>
        <v>#REF!</v>
      </c>
      <c r="AO68" t="e">
        <f>AND(#REF!,"AAAAAHz75yg=")</f>
        <v>#REF!</v>
      </c>
      <c r="AP68" t="e">
        <f>AND(#REF!,"AAAAAHz75yk=")</f>
        <v>#REF!</v>
      </c>
      <c r="AQ68" t="e">
        <f>AND(#REF!,"AAAAAHz75yo=")</f>
        <v>#REF!</v>
      </c>
      <c r="AR68" t="e">
        <f>AND(#REF!,"AAAAAHz75ys=")</f>
        <v>#REF!</v>
      </c>
      <c r="AS68" t="e">
        <f>AND(#REF!,"AAAAAHz75yw=")</f>
        <v>#REF!</v>
      </c>
      <c r="AT68" t="e">
        <f>AND(#REF!,"AAAAAHz75y0=")</f>
        <v>#REF!</v>
      </c>
      <c r="AU68" t="e">
        <f>AND(#REF!,"AAAAAHz75y4=")</f>
        <v>#REF!</v>
      </c>
      <c r="AV68" t="e">
        <f>AND(#REF!,"AAAAAHz75y8=")</f>
        <v>#REF!</v>
      </c>
      <c r="AW68" t="e">
        <f>AND(#REF!,"AAAAAHz75zA=")</f>
        <v>#REF!</v>
      </c>
      <c r="AX68" t="e">
        <f>IF(#REF!,"AAAAAHz75zE=",0)</f>
        <v>#REF!</v>
      </c>
      <c r="AY68" t="e">
        <f>AND(#REF!,"AAAAAHz75zI=")</f>
        <v>#REF!</v>
      </c>
      <c r="AZ68" t="e">
        <f>AND(#REF!,"AAAAAHz75zM=")</f>
        <v>#REF!</v>
      </c>
      <c r="BA68" t="e">
        <f>AND(#REF!,"AAAAAHz75zQ=")</f>
        <v>#REF!</v>
      </c>
      <c r="BB68" t="e">
        <f>AND(#REF!,"AAAAAHz75zU=")</f>
        <v>#REF!</v>
      </c>
      <c r="BC68" t="e">
        <f>AND(#REF!,"AAAAAHz75zY=")</f>
        <v>#REF!</v>
      </c>
      <c r="BD68" t="e">
        <f>AND(#REF!,"AAAAAHz75zc=")</f>
        <v>#REF!</v>
      </c>
      <c r="BE68" t="e">
        <f>AND(#REF!,"AAAAAHz75zg=")</f>
        <v>#REF!</v>
      </c>
      <c r="BF68" t="e">
        <f>AND(#REF!,"AAAAAHz75zk=")</f>
        <v>#REF!</v>
      </c>
      <c r="BG68" t="e">
        <f>AND(#REF!,"AAAAAHz75zo=")</f>
        <v>#REF!</v>
      </c>
      <c r="BH68" t="e">
        <f>AND(#REF!,"AAAAAHz75zs=")</f>
        <v>#REF!</v>
      </c>
      <c r="BI68" t="e">
        <f>AND(#REF!,"AAAAAHz75zw=")</f>
        <v>#REF!</v>
      </c>
      <c r="BJ68" t="e">
        <f>AND(#REF!,"AAAAAHz75z0=")</f>
        <v>#REF!</v>
      </c>
      <c r="BK68" t="e">
        <f>AND(#REF!,"AAAAAHz75z4=")</f>
        <v>#REF!</v>
      </c>
      <c r="BL68" t="e">
        <f>AND(#REF!,"AAAAAHz75z8=")</f>
        <v>#REF!</v>
      </c>
      <c r="BM68" t="e">
        <f>AND(#REF!,"AAAAAHz750A=")</f>
        <v>#REF!</v>
      </c>
      <c r="BN68" t="e">
        <f>AND(#REF!,"AAAAAHz750E=")</f>
        <v>#REF!</v>
      </c>
      <c r="BO68" t="e">
        <f>IF(#REF!,"AAAAAHz750I=",0)</f>
        <v>#REF!</v>
      </c>
      <c r="BP68" t="e">
        <f>AND(#REF!,"AAAAAHz750M=")</f>
        <v>#REF!</v>
      </c>
      <c r="BQ68" t="e">
        <f>AND(#REF!,"AAAAAHz750Q=")</f>
        <v>#REF!</v>
      </c>
      <c r="BR68" t="e">
        <f>AND(#REF!,"AAAAAHz750U=")</f>
        <v>#REF!</v>
      </c>
      <c r="BS68" t="e">
        <f>AND(#REF!,"AAAAAHz750Y=")</f>
        <v>#REF!</v>
      </c>
      <c r="BT68" t="e">
        <f>AND(#REF!,"AAAAAHz750c=")</f>
        <v>#REF!</v>
      </c>
      <c r="BU68" t="e">
        <f>AND(#REF!,"AAAAAHz750g=")</f>
        <v>#REF!</v>
      </c>
      <c r="BV68" t="e">
        <f>AND(#REF!,"AAAAAHz750k=")</f>
        <v>#REF!</v>
      </c>
      <c r="BW68" t="e">
        <f>AND(#REF!,"AAAAAHz750o=")</f>
        <v>#REF!</v>
      </c>
      <c r="BX68" t="e">
        <f>AND(#REF!,"AAAAAHz750s=")</f>
        <v>#REF!</v>
      </c>
      <c r="BY68" t="e">
        <f>AND(#REF!,"AAAAAHz750w=")</f>
        <v>#REF!</v>
      </c>
      <c r="BZ68" t="e">
        <f>AND(#REF!,"AAAAAHz7500=")</f>
        <v>#REF!</v>
      </c>
      <c r="CA68" t="e">
        <f>AND(#REF!,"AAAAAHz7504=")</f>
        <v>#REF!</v>
      </c>
      <c r="CB68" t="e">
        <f>AND(#REF!,"AAAAAHz7508=")</f>
        <v>#REF!</v>
      </c>
      <c r="CC68" t="e">
        <f>AND(#REF!,"AAAAAHz751A=")</f>
        <v>#REF!</v>
      </c>
      <c r="CD68" t="e">
        <f>AND(#REF!,"AAAAAHz751E=")</f>
        <v>#REF!</v>
      </c>
      <c r="CE68" t="e">
        <f>AND(#REF!,"AAAAAHz751I=")</f>
        <v>#REF!</v>
      </c>
      <c r="CF68" t="e">
        <f>IF(#REF!,"AAAAAHz751M=",0)</f>
        <v>#REF!</v>
      </c>
      <c r="CG68" t="e">
        <f>AND(#REF!,"AAAAAHz751Q=")</f>
        <v>#REF!</v>
      </c>
      <c r="CH68" t="e">
        <f>AND(#REF!,"AAAAAHz751U=")</f>
        <v>#REF!</v>
      </c>
      <c r="CI68" t="e">
        <f>AND(#REF!,"AAAAAHz751Y=")</f>
        <v>#REF!</v>
      </c>
      <c r="CJ68" t="e">
        <f>AND(#REF!,"AAAAAHz751c=")</f>
        <v>#REF!</v>
      </c>
      <c r="CK68" t="e">
        <f>AND(#REF!,"AAAAAHz751g=")</f>
        <v>#REF!</v>
      </c>
      <c r="CL68" t="e">
        <f>AND(#REF!,"AAAAAHz751k=")</f>
        <v>#REF!</v>
      </c>
      <c r="CM68" t="e">
        <f>AND(#REF!,"AAAAAHz751o=")</f>
        <v>#REF!</v>
      </c>
      <c r="CN68" t="e">
        <f>AND(#REF!,"AAAAAHz751s=")</f>
        <v>#REF!</v>
      </c>
      <c r="CO68" t="e">
        <f>AND(#REF!,"AAAAAHz751w=")</f>
        <v>#REF!</v>
      </c>
      <c r="CP68" t="e">
        <f>AND(#REF!,"AAAAAHz7510=")</f>
        <v>#REF!</v>
      </c>
      <c r="CQ68" t="e">
        <f>AND(#REF!,"AAAAAHz7514=")</f>
        <v>#REF!</v>
      </c>
      <c r="CR68" t="e">
        <f>AND(#REF!,"AAAAAHz7518=")</f>
        <v>#REF!</v>
      </c>
      <c r="CS68" t="e">
        <f>AND(#REF!,"AAAAAHz752A=")</f>
        <v>#REF!</v>
      </c>
      <c r="CT68" t="e">
        <f>AND(#REF!,"AAAAAHz752E=")</f>
        <v>#REF!</v>
      </c>
      <c r="CU68" t="e">
        <f>AND(#REF!,"AAAAAHz752I=")</f>
        <v>#REF!</v>
      </c>
      <c r="CV68" t="e">
        <f>AND(#REF!,"AAAAAHz752M=")</f>
        <v>#REF!</v>
      </c>
      <c r="CW68" t="e">
        <f>IF(#REF!,"AAAAAHz752Q=",0)</f>
        <v>#REF!</v>
      </c>
      <c r="CX68" t="e">
        <f>AND(#REF!,"AAAAAHz752U=")</f>
        <v>#REF!</v>
      </c>
      <c r="CY68" t="e">
        <f>AND(#REF!,"AAAAAHz752Y=")</f>
        <v>#REF!</v>
      </c>
      <c r="CZ68" t="e">
        <f>AND(#REF!,"AAAAAHz752c=")</f>
        <v>#REF!</v>
      </c>
      <c r="DA68" t="e">
        <f>AND(#REF!,"AAAAAHz752g=")</f>
        <v>#REF!</v>
      </c>
      <c r="DB68" t="e">
        <f>AND(#REF!,"AAAAAHz752k=")</f>
        <v>#REF!</v>
      </c>
      <c r="DC68" t="e">
        <f>AND(#REF!,"AAAAAHz752o=")</f>
        <v>#REF!</v>
      </c>
      <c r="DD68" t="e">
        <f>AND(#REF!,"AAAAAHz752s=")</f>
        <v>#REF!</v>
      </c>
      <c r="DE68" t="e">
        <f>AND(#REF!,"AAAAAHz752w=")</f>
        <v>#REF!</v>
      </c>
      <c r="DF68" t="e">
        <f>AND(#REF!,"AAAAAHz7520=")</f>
        <v>#REF!</v>
      </c>
      <c r="DG68" t="e">
        <f>AND(#REF!,"AAAAAHz7524=")</f>
        <v>#REF!</v>
      </c>
      <c r="DH68" t="e">
        <f>AND(#REF!,"AAAAAHz7528=")</f>
        <v>#REF!</v>
      </c>
      <c r="DI68" t="e">
        <f>AND(#REF!,"AAAAAHz753A=")</f>
        <v>#REF!</v>
      </c>
      <c r="DJ68" t="e">
        <f>AND(#REF!,"AAAAAHz753E=")</f>
        <v>#REF!</v>
      </c>
      <c r="DK68" t="e">
        <f>AND(#REF!,"AAAAAHz753I=")</f>
        <v>#REF!</v>
      </c>
      <c r="DL68" t="e">
        <f>AND(#REF!,"AAAAAHz753M=")</f>
        <v>#REF!</v>
      </c>
      <c r="DM68" t="e">
        <f>AND(#REF!,"AAAAAHz753Q=")</f>
        <v>#REF!</v>
      </c>
      <c r="DN68" t="e">
        <f>IF(#REF!,"AAAAAHz753U=",0)</f>
        <v>#REF!</v>
      </c>
      <c r="DO68" t="e">
        <f>IF(#REF!,"AAAAAHz753Y=",0)</f>
        <v>#REF!</v>
      </c>
      <c r="DP68" t="e">
        <f>IF(#REF!,"AAAAAHz753c=",0)</f>
        <v>#REF!</v>
      </c>
      <c r="DQ68" t="e">
        <f>IF(#REF!,"AAAAAHz753g=",0)</f>
        <v>#REF!</v>
      </c>
      <c r="DR68" t="e">
        <f>IF(#REF!,"AAAAAHz753k=",0)</f>
        <v>#REF!</v>
      </c>
      <c r="DS68" t="e">
        <f>IF(#REF!,"AAAAAHz753o=",0)</f>
        <v>#REF!</v>
      </c>
      <c r="DT68" t="e">
        <f>IF(#REF!,"AAAAAHz753s=",0)</f>
        <v>#REF!</v>
      </c>
      <c r="DU68" t="e">
        <f>IF(#REF!,"AAAAAHz753w=",0)</f>
        <v>#REF!</v>
      </c>
      <c r="DV68" t="e">
        <f>IF(#REF!,"AAAAAHz7530=",0)</f>
        <v>#REF!</v>
      </c>
      <c r="DW68" t="e">
        <f>IF(#REF!,"AAAAAHz7534=",0)</f>
        <v>#REF!</v>
      </c>
      <c r="DX68" t="e">
        <f>IF(#REF!,"AAAAAHz7538=",0)</f>
        <v>#REF!</v>
      </c>
      <c r="DY68" t="e">
        <f>IF(#REF!,"AAAAAHz754A=",0)</f>
        <v>#REF!</v>
      </c>
      <c r="DZ68" t="e">
        <f>IF(#REF!,"AAAAAHz754E=",0)</f>
        <v>#REF!</v>
      </c>
      <c r="EA68" t="e">
        <f>IF(#REF!,"AAAAAHz754I=",0)</f>
        <v>#REF!</v>
      </c>
      <c r="EB68" t="e">
        <f>IF(#REF!,"AAAAAHz754M=",0)</f>
        <v>#REF!</v>
      </c>
      <c r="EC68" t="e">
        <f>IF(#REF!,"AAAAAHz754Q=",0)</f>
        <v>#REF!</v>
      </c>
      <c r="ED68" t="e">
        <f>IF(#REF!,"AAAAAHz754U=",0)</f>
        <v>#REF!</v>
      </c>
      <c r="EE68" t="e">
        <f>AND(#REF!,"AAAAAHz754Y=")</f>
        <v>#REF!</v>
      </c>
      <c r="EF68" t="e">
        <f>AND(#REF!,"AAAAAHz754c=")</f>
        <v>#REF!</v>
      </c>
      <c r="EG68" t="e">
        <f>AND(#REF!,"AAAAAHz754g=")</f>
        <v>#REF!</v>
      </c>
      <c r="EH68" t="e">
        <f>AND(#REF!,"AAAAAHz754k=")</f>
        <v>#REF!</v>
      </c>
      <c r="EI68" t="e">
        <f>AND(#REF!,"AAAAAHz754o=")</f>
        <v>#REF!</v>
      </c>
      <c r="EJ68" t="e">
        <f>AND(#REF!,"AAAAAHz754s=")</f>
        <v>#REF!</v>
      </c>
      <c r="EK68" t="e">
        <f>AND(#REF!,"AAAAAHz754w=")</f>
        <v>#REF!</v>
      </c>
      <c r="EL68" t="e">
        <f>AND(#REF!,"AAAAAHz7540=")</f>
        <v>#REF!</v>
      </c>
      <c r="EM68" t="e">
        <f>AND(#REF!,"AAAAAHz7544=")</f>
        <v>#REF!</v>
      </c>
      <c r="EN68" t="e">
        <f>AND(#REF!,"AAAAAHz7548=")</f>
        <v>#REF!</v>
      </c>
      <c r="EO68" t="e">
        <f>AND(#REF!,"AAAAAHz755A=")</f>
        <v>#REF!</v>
      </c>
      <c r="EP68" t="e">
        <f>AND(#REF!,"AAAAAHz755E=")</f>
        <v>#REF!</v>
      </c>
      <c r="EQ68" t="e">
        <f>AND(#REF!,"AAAAAHz755I=")</f>
        <v>#REF!</v>
      </c>
      <c r="ER68" t="e">
        <f>AND(#REF!,"AAAAAHz755M=")</f>
        <v>#REF!</v>
      </c>
      <c r="ES68" t="e">
        <f>AND(#REF!,"AAAAAHz755Q=")</f>
        <v>#REF!</v>
      </c>
      <c r="ET68" t="e">
        <f>AND(#REF!,"AAAAAHz755U=")</f>
        <v>#REF!</v>
      </c>
      <c r="EU68" t="e">
        <f>IF(#REF!,"AAAAAHz755Y=",0)</f>
        <v>#REF!</v>
      </c>
      <c r="EV68" t="e">
        <f>AND(#REF!,"AAAAAHz755c=")</f>
        <v>#REF!</v>
      </c>
      <c r="EW68" t="e">
        <f>AND(#REF!,"AAAAAHz755g=")</f>
        <v>#REF!</v>
      </c>
      <c r="EX68" t="e">
        <f>AND(#REF!,"AAAAAHz755k=")</f>
        <v>#REF!</v>
      </c>
      <c r="EY68" t="e">
        <f>AND(#REF!,"AAAAAHz755o=")</f>
        <v>#REF!</v>
      </c>
      <c r="EZ68" t="e">
        <f>AND(#REF!,"AAAAAHz755s=")</f>
        <v>#REF!</v>
      </c>
      <c r="FA68" t="e">
        <f>AND(#REF!,"AAAAAHz755w=")</f>
        <v>#REF!</v>
      </c>
      <c r="FB68" t="e">
        <f>AND(#REF!,"AAAAAHz7550=")</f>
        <v>#REF!</v>
      </c>
      <c r="FC68" t="e">
        <f>AND(#REF!,"AAAAAHz7554=")</f>
        <v>#REF!</v>
      </c>
      <c r="FD68" t="e">
        <f>AND(#REF!,"AAAAAHz7558=")</f>
        <v>#REF!</v>
      </c>
      <c r="FE68" t="e">
        <f>AND(#REF!,"AAAAAHz756A=")</f>
        <v>#REF!</v>
      </c>
      <c r="FF68" t="e">
        <f>AND(#REF!,"AAAAAHz756E=")</f>
        <v>#REF!</v>
      </c>
      <c r="FG68" t="e">
        <f>AND(#REF!,"AAAAAHz756I=")</f>
        <v>#REF!</v>
      </c>
      <c r="FH68" t="e">
        <f>AND(#REF!,"AAAAAHz756M=")</f>
        <v>#REF!</v>
      </c>
      <c r="FI68" t="e">
        <f>AND(#REF!,"AAAAAHz756Q=")</f>
        <v>#REF!</v>
      </c>
      <c r="FJ68" t="e">
        <f>AND(#REF!,"AAAAAHz756U=")</f>
        <v>#REF!</v>
      </c>
      <c r="FK68" t="e">
        <f>AND(#REF!,"AAAAAHz756Y=")</f>
        <v>#REF!</v>
      </c>
      <c r="FL68" t="e">
        <f>IF(#REF!,"AAAAAHz756c=",0)</f>
        <v>#REF!</v>
      </c>
      <c r="FM68" t="e">
        <f>AND(#REF!,"AAAAAHz756g=")</f>
        <v>#REF!</v>
      </c>
      <c r="FN68" t="e">
        <f>AND(#REF!,"AAAAAHz756k=")</f>
        <v>#REF!</v>
      </c>
      <c r="FO68" t="e">
        <f>AND(#REF!,"AAAAAHz756o=")</f>
        <v>#REF!</v>
      </c>
      <c r="FP68" t="e">
        <f>AND(#REF!,"AAAAAHz756s=")</f>
        <v>#REF!</v>
      </c>
      <c r="FQ68" t="e">
        <f>AND(#REF!,"AAAAAHz756w=")</f>
        <v>#REF!</v>
      </c>
      <c r="FR68" t="e">
        <f>AND(#REF!,"AAAAAHz7560=")</f>
        <v>#REF!</v>
      </c>
      <c r="FS68" t="e">
        <f>AND(#REF!,"AAAAAHz7564=")</f>
        <v>#REF!</v>
      </c>
      <c r="FT68" t="e">
        <f>AND(#REF!,"AAAAAHz7568=")</f>
        <v>#REF!</v>
      </c>
      <c r="FU68" t="e">
        <f>AND(#REF!,"AAAAAHz757A=")</f>
        <v>#REF!</v>
      </c>
      <c r="FV68" t="e">
        <f>AND(#REF!,"AAAAAHz757E=")</f>
        <v>#REF!</v>
      </c>
      <c r="FW68" t="e">
        <f>AND(#REF!,"AAAAAHz757I=")</f>
        <v>#REF!</v>
      </c>
      <c r="FX68" t="e">
        <f>AND(#REF!,"AAAAAHz757M=")</f>
        <v>#REF!</v>
      </c>
      <c r="FY68" t="e">
        <f>AND(#REF!,"AAAAAHz757Q=")</f>
        <v>#REF!</v>
      </c>
      <c r="FZ68" t="e">
        <f>AND(#REF!,"AAAAAHz757U=")</f>
        <v>#REF!</v>
      </c>
      <c r="GA68" t="e">
        <f>AND(#REF!,"AAAAAHz757Y=")</f>
        <v>#REF!</v>
      </c>
      <c r="GB68" t="e">
        <f>AND(#REF!,"AAAAAHz757c=")</f>
        <v>#REF!</v>
      </c>
      <c r="GC68" t="e">
        <f>IF(#REF!,"AAAAAHz757g=",0)</f>
        <v>#REF!</v>
      </c>
      <c r="GD68" t="e">
        <f>AND(#REF!,"AAAAAHz757k=")</f>
        <v>#REF!</v>
      </c>
      <c r="GE68" t="e">
        <f>AND(#REF!,"AAAAAHz757o=")</f>
        <v>#REF!</v>
      </c>
      <c r="GF68" t="e">
        <f>AND(#REF!,"AAAAAHz757s=")</f>
        <v>#REF!</v>
      </c>
      <c r="GG68" t="e">
        <f>AND(#REF!,"AAAAAHz757w=")</f>
        <v>#REF!</v>
      </c>
      <c r="GH68" t="e">
        <f>AND(#REF!,"AAAAAHz7570=")</f>
        <v>#REF!</v>
      </c>
      <c r="GI68" t="e">
        <f>AND(#REF!,"AAAAAHz7574=")</f>
        <v>#REF!</v>
      </c>
      <c r="GJ68" t="e">
        <f>AND(#REF!,"AAAAAHz7578=")</f>
        <v>#REF!</v>
      </c>
      <c r="GK68" t="e">
        <f>AND(#REF!,"AAAAAHz758A=")</f>
        <v>#REF!</v>
      </c>
      <c r="GL68" t="e">
        <f>AND(#REF!,"AAAAAHz758E=")</f>
        <v>#REF!</v>
      </c>
      <c r="GM68" t="e">
        <f>AND(#REF!,"AAAAAHz758I=")</f>
        <v>#REF!</v>
      </c>
      <c r="GN68" t="e">
        <f>AND(#REF!,"AAAAAHz758M=")</f>
        <v>#REF!</v>
      </c>
      <c r="GO68" t="e">
        <f>AND(#REF!,"AAAAAHz758Q=")</f>
        <v>#REF!</v>
      </c>
      <c r="GP68" t="e">
        <f>AND(#REF!,"AAAAAHz758U=")</f>
        <v>#REF!</v>
      </c>
      <c r="GQ68" t="e">
        <f>AND(#REF!,"AAAAAHz758Y=")</f>
        <v>#REF!</v>
      </c>
      <c r="GR68" t="e">
        <f>AND(#REF!,"AAAAAHz758c=")</f>
        <v>#REF!</v>
      </c>
      <c r="GS68" t="e">
        <f>AND(#REF!,"AAAAAHz758g=")</f>
        <v>#REF!</v>
      </c>
      <c r="GT68" t="e">
        <f>IF(#REF!,"AAAAAHz758k=",0)</f>
        <v>#REF!</v>
      </c>
      <c r="GU68" t="e">
        <f>AND(#REF!,"AAAAAHz758o=")</f>
        <v>#REF!</v>
      </c>
      <c r="GV68" t="e">
        <f>AND(#REF!,"AAAAAHz758s=")</f>
        <v>#REF!</v>
      </c>
      <c r="GW68" t="e">
        <f>AND(#REF!,"AAAAAHz758w=")</f>
        <v>#REF!</v>
      </c>
      <c r="GX68" t="e">
        <f>AND(#REF!,"AAAAAHz7580=")</f>
        <v>#REF!</v>
      </c>
      <c r="GY68" t="e">
        <f>AND(#REF!,"AAAAAHz7584=")</f>
        <v>#REF!</v>
      </c>
      <c r="GZ68" t="e">
        <f>AND(#REF!,"AAAAAHz7588=")</f>
        <v>#REF!</v>
      </c>
      <c r="HA68" t="e">
        <f>AND(#REF!,"AAAAAHz759A=")</f>
        <v>#REF!</v>
      </c>
      <c r="HB68" t="e">
        <f>AND(#REF!,"AAAAAHz759E=")</f>
        <v>#REF!</v>
      </c>
      <c r="HC68" t="e">
        <f>AND(#REF!,"AAAAAHz759I=")</f>
        <v>#REF!</v>
      </c>
      <c r="HD68" t="e">
        <f>AND(#REF!,"AAAAAHz759M=")</f>
        <v>#REF!</v>
      </c>
      <c r="HE68" t="e">
        <f>AND(#REF!,"AAAAAHz759Q=")</f>
        <v>#REF!</v>
      </c>
      <c r="HF68" t="e">
        <f>AND(#REF!,"AAAAAHz759U=")</f>
        <v>#REF!</v>
      </c>
      <c r="HG68" t="e">
        <f>AND(#REF!,"AAAAAHz759Y=")</f>
        <v>#REF!</v>
      </c>
      <c r="HH68" t="e">
        <f>AND(#REF!,"AAAAAHz759c=")</f>
        <v>#REF!</v>
      </c>
      <c r="HI68" t="e">
        <f>AND(#REF!,"AAAAAHz759g=")</f>
        <v>#REF!</v>
      </c>
      <c r="HJ68" t="e">
        <f>AND(#REF!,"AAAAAHz759k=")</f>
        <v>#REF!</v>
      </c>
      <c r="HK68" t="e">
        <f>IF(#REF!,"AAAAAHz759o=",0)</f>
        <v>#REF!</v>
      </c>
      <c r="HL68" t="e">
        <f>AND(#REF!,"AAAAAHz759s=")</f>
        <v>#REF!</v>
      </c>
      <c r="HM68" t="e">
        <f>AND(#REF!,"AAAAAHz759w=")</f>
        <v>#REF!</v>
      </c>
      <c r="HN68" t="e">
        <f>AND(#REF!,"AAAAAHz7590=")</f>
        <v>#REF!</v>
      </c>
      <c r="HO68" t="e">
        <f>AND(#REF!,"AAAAAHz7594=")</f>
        <v>#REF!</v>
      </c>
      <c r="HP68" t="e">
        <f>AND(#REF!,"AAAAAHz7598=")</f>
        <v>#REF!</v>
      </c>
      <c r="HQ68" t="e">
        <f>AND(#REF!,"AAAAAHz75+A=")</f>
        <v>#REF!</v>
      </c>
      <c r="HR68" t="e">
        <f>AND(#REF!,"AAAAAHz75+E=")</f>
        <v>#REF!</v>
      </c>
      <c r="HS68" t="e">
        <f>AND(#REF!,"AAAAAHz75+I=")</f>
        <v>#REF!</v>
      </c>
      <c r="HT68" t="e">
        <f>AND(#REF!,"AAAAAHz75+M=")</f>
        <v>#REF!</v>
      </c>
      <c r="HU68" t="e">
        <f>AND(#REF!,"AAAAAHz75+Q=")</f>
        <v>#REF!</v>
      </c>
      <c r="HV68" t="e">
        <f>AND(#REF!,"AAAAAHz75+U=")</f>
        <v>#REF!</v>
      </c>
      <c r="HW68" t="e">
        <f>AND(#REF!,"AAAAAHz75+Y=")</f>
        <v>#REF!</v>
      </c>
      <c r="HX68" t="e">
        <f>AND(#REF!,"AAAAAHz75+c=")</f>
        <v>#REF!</v>
      </c>
      <c r="HY68" t="e">
        <f>AND(#REF!,"AAAAAHz75+g=")</f>
        <v>#REF!</v>
      </c>
      <c r="HZ68" t="e">
        <f>AND(#REF!,"AAAAAHz75+k=")</f>
        <v>#REF!</v>
      </c>
      <c r="IA68" t="e">
        <f>AND(#REF!,"AAAAAHz75+o=")</f>
        <v>#REF!</v>
      </c>
      <c r="IB68" t="e">
        <f>IF(#REF!,"AAAAAHz75+s=",0)</f>
        <v>#REF!</v>
      </c>
      <c r="IC68" t="e">
        <f>AND(#REF!,"AAAAAHz75+w=")</f>
        <v>#REF!</v>
      </c>
      <c r="ID68" t="e">
        <f>AND(#REF!,"AAAAAHz75+0=")</f>
        <v>#REF!</v>
      </c>
      <c r="IE68" t="e">
        <f>AND(#REF!,"AAAAAHz75+4=")</f>
        <v>#REF!</v>
      </c>
      <c r="IF68" t="e">
        <f>AND(#REF!,"AAAAAHz75+8=")</f>
        <v>#REF!</v>
      </c>
      <c r="IG68" t="e">
        <f>AND(#REF!,"AAAAAHz75/A=")</f>
        <v>#REF!</v>
      </c>
      <c r="IH68" t="e">
        <f>AND(#REF!,"AAAAAHz75/E=")</f>
        <v>#REF!</v>
      </c>
      <c r="II68" t="e">
        <f>AND(#REF!,"AAAAAHz75/I=")</f>
        <v>#REF!</v>
      </c>
      <c r="IJ68" t="e">
        <f>AND(#REF!,"AAAAAHz75/M=")</f>
        <v>#REF!</v>
      </c>
      <c r="IK68" t="e">
        <f>AND(#REF!,"AAAAAHz75/Q=")</f>
        <v>#REF!</v>
      </c>
      <c r="IL68" t="e">
        <f>AND(#REF!,"AAAAAHz75/U=")</f>
        <v>#REF!</v>
      </c>
      <c r="IM68" t="e">
        <f>AND(#REF!,"AAAAAHz75/Y=")</f>
        <v>#REF!</v>
      </c>
      <c r="IN68" t="e">
        <f>AND(#REF!,"AAAAAHz75/c=")</f>
        <v>#REF!</v>
      </c>
      <c r="IO68" t="e">
        <f>AND(#REF!,"AAAAAHz75/g=")</f>
        <v>#REF!</v>
      </c>
      <c r="IP68" t="e">
        <f>AND(#REF!,"AAAAAHz75/k=")</f>
        <v>#REF!</v>
      </c>
      <c r="IQ68" t="e">
        <f>AND(#REF!,"AAAAAHz75/o=")</f>
        <v>#REF!</v>
      </c>
      <c r="IR68" t="e">
        <f>AND(#REF!,"AAAAAHz75/s=")</f>
        <v>#REF!</v>
      </c>
      <c r="IS68" t="e">
        <f>IF(#REF!,"AAAAAHz75/w=",0)</f>
        <v>#REF!</v>
      </c>
      <c r="IT68" t="e">
        <f>AND(#REF!,"AAAAAHz75/0=")</f>
        <v>#REF!</v>
      </c>
      <c r="IU68" t="e">
        <f>AND(#REF!,"AAAAAHz75/4=")</f>
        <v>#REF!</v>
      </c>
      <c r="IV68" t="e">
        <f>AND(#REF!,"AAAAAHz75/8=")</f>
        <v>#REF!</v>
      </c>
    </row>
    <row r="69" spans="1:256" x14ac:dyDescent="0.25">
      <c r="A69" t="e">
        <f>AND(#REF!,"AAAAAHer5wA=")</f>
        <v>#REF!</v>
      </c>
      <c r="B69" t="e">
        <f>AND(#REF!,"AAAAAHer5wE=")</f>
        <v>#REF!</v>
      </c>
      <c r="C69" t="e">
        <f>AND(#REF!,"AAAAAHer5wI=")</f>
        <v>#REF!</v>
      </c>
      <c r="D69" t="e">
        <f>AND(#REF!,"AAAAAHer5wM=")</f>
        <v>#REF!</v>
      </c>
      <c r="E69" t="e">
        <f>AND(#REF!,"AAAAAHer5wQ=")</f>
        <v>#REF!</v>
      </c>
      <c r="F69" t="e">
        <f>AND(#REF!,"AAAAAHer5wU=")</f>
        <v>#REF!</v>
      </c>
      <c r="G69" t="e">
        <f>AND(#REF!,"AAAAAHer5wY=")</f>
        <v>#REF!</v>
      </c>
      <c r="H69" t="e">
        <f>AND(#REF!,"AAAAAHer5wc=")</f>
        <v>#REF!</v>
      </c>
      <c r="I69" t="e">
        <f>AND(#REF!,"AAAAAHer5wg=")</f>
        <v>#REF!</v>
      </c>
      <c r="J69" t="e">
        <f>AND(#REF!,"AAAAAHer5wk=")</f>
        <v>#REF!</v>
      </c>
      <c r="K69" t="e">
        <f>AND(#REF!,"AAAAAHer5wo=")</f>
        <v>#REF!</v>
      </c>
      <c r="L69" t="e">
        <f>AND(#REF!,"AAAAAHer5ws=")</f>
        <v>#REF!</v>
      </c>
      <c r="M69" t="e">
        <f>AND(#REF!,"AAAAAHer5ww=")</f>
        <v>#REF!</v>
      </c>
      <c r="N69" t="e">
        <f>IF(#REF!,"AAAAAHer5w0=",0)</f>
        <v>#REF!</v>
      </c>
      <c r="O69" t="e">
        <f>AND(#REF!,"AAAAAHer5w4=")</f>
        <v>#REF!</v>
      </c>
      <c r="P69" t="e">
        <f>AND(#REF!,"AAAAAHer5w8=")</f>
        <v>#REF!</v>
      </c>
      <c r="Q69" t="e">
        <f>AND(#REF!,"AAAAAHer5xA=")</f>
        <v>#REF!</v>
      </c>
      <c r="R69" t="e">
        <f>AND(#REF!,"AAAAAHer5xE=")</f>
        <v>#REF!</v>
      </c>
      <c r="S69" t="e">
        <f>AND(#REF!,"AAAAAHer5xI=")</f>
        <v>#REF!</v>
      </c>
      <c r="T69" t="e">
        <f>AND(#REF!,"AAAAAHer5xM=")</f>
        <v>#REF!</v>
      </c>
      <c r="U69" t="e">
        <f>AND(#REF!,"AAAAAHer5xQ=")</f>
        <v>#REF!</v>
      </c>
      <c r="V69" t="e">
        <f>AND(#REF!,"AAAAAHer5xU=")</f>
        <v>#REF!</v>
      </c>
      <c r="W69" t="e">
        <f>AND(#REF!,"AAAAAHer5xY=")</f>
        <v>#REF!</v>
      </c>
      <c r="X69" t="e">
        <f>AND(#REF!,"AAAAAHer5xc=")</f>
        <v>#REF!</v>
      </c>
      <c r="Y69" t="e">
        <f>AND(#REF!,"AAAAAHer5xg=")</f>
        <v>#REF!</v>
      </c>
      <c r="Z69" t="e">
        <f>AND(#REF!,"AAAAAHer5xk=")</f>
        <v>#REF!</v>
      </c>
      <c r="AA69" t="e">
        <f>AND(#REF!,"AAAAAHer5xo=")</f>
        <v>#REF!</v>
      </c>
      <c r="AB69" t="e">
        <f>AND(#REF!,"AAAAAHer5xs=")</f>
        <v>#REF!</v>
      </c>
      <c r="AC69" t="e">
        <f>AND(#REF!,"AAAAAHer5xw=")</f>
        <v>#REF!</v>
      </c>
      <c r="AD69" t="e">
        <f>AND(#REF!,"AAAAAHer5x0=")</f>
        <v>#REF!</v>
      </c>
      <c r="AE69" t="e">
        <f>IF(#REF!,"AAAAAHer5x4=",0)</f>
        <v>#REF!</v>
      </c>
      <c r="AF69" t="e">
        <f>AND(#REF!,"AAAAAHer5x8=")</f>
        <v>#REF!</v>
      </c>
      <c r="AG69" t="e">
        <f>AND(#REF!,"AAAAAHer5yA=")</f>
        <v>#REF!</v>
      </c>
      <c r="AH69" t="e">
        <f>AND(#REF!,"AAAAAHer5yE=")</f>
        <v>#REF!</v>
      </c>
      <c r="AI69" t="e">
        <f>AND(#REF!,"AAAAAHer5yI=")</f>
        <v>#REF!</v>
      </c>
      <c r="AJ69" t="e">
        <f>AND(#REF!,"AAAAAHer5yM=")</f>
        <v>#REF!</v>
      </c>
      <c r="AK69" t="e">
        <f>AND(#REF!,"AAAAAHer5yQ=")</f>
        <v>#REF!</v>
      </c>
      <c r="AL69" t="e">
        <f>AND(#REF!,"AAAAAHer5yU=")</f>
        <v>#REF!</v>
      </c>
      <c r="AM69" t="e">
        <f>AND(#REF!,"AAAAAHer5yY=")</f>
        <v>#REF!</v>
      </c>
      <c r="AN69" t="e">
        <f>AND(#REF!,"AAAAAHer5yc=")</f>
        <v>#REF!</v>
      </c>
      <c r="AO69" t="e">
        <f>AND(#REF!,"AAAAAHer5yg=")</f>
        <v>#REF!</v>
      </c>
      <c r="AP69" t="e">
        <f>AND(#REF!,"AAAAAHer5yk=")</f>
        <v>#REF!</v>
      </c>
      <c r="AQ69" t="e">
        <f>AND(#REF!,"AAAAAHer5yo=")</f>
        <v>#REF!</v>
      </c>
      <c r="AR69" t="e">
        <f>AND(#REF!,"AAAAAHer5ys=")</f>
        <v>#REF!</v>
      </c>
      <c r="AS69" t="e">
        <f>AND(#REF!,"AAAAAHer5yw=")</f>
        <v>#REF!</v>
      </c>
      <c r="AT69" t="e">
        <f>AND(#REF!,"AAAAAHer5y0=")</f>
        <v>#REF!</v>
      </c>
      <c r="AU69" t="e">
        <f>AND(#REF!,"AAAAAHer5y4=")</f>
        <v>#REF!</v>
      </c>
      <c r="AV69" t="e">
        <f>IF(#REF!,"AAAAAHer5y8=",0)</f>
        <v>#REF!</v>
      </c>
      <c r="AW69" t="e">
        <f>AND(#REF!,"AAAAAHer5zA=")</f>
        <v>#REF!</v>
      </c>
      <c r="AX69" t="e">
        <f>AND(#REF!,"AAAAAHer5zE=")</f>
        <v>#REF!</v>
      </c>
      <c r="AY69" t="e">
        <f>AND(#REF!,"AAAAAHer5zI=")</f>
        <v>#REF!</v>
      </c>
      <c r="AZ69" t="e">
        <f>AND(#REF!,"AAAAAHer5zM=")</f>
        <v>#REF!</v>
      </c>
      <c r="BA69" t="e">
        <f>AND(#REF!,"AAAAAHer5zQ=")</f>
        <v>#REF!</v>
      </c>
      <c r="BB69" t="e">
        <f>AND(#REF!,"AAAAAHer5zU=")</f>
        <v>#REF!</v>
      </c>
      <c r="BC69" t="e">
        <f>AND(#REF!,"AAAAAHer5zY=")</f>
        <v>#REF!</v>
      </c>
      <c r="BD69" t="e">
        <f>AND(#REF!,"AAAAAHer5zc=")</f>
        <v>#REF!</v>
      </c>
      <c r="BE69" t="e">
        <f>AND(#REF!,"AAAAAHer5zg=")</f>
        <v>#REF!</v>
      </c>
      <c r="BF69" t="e">
        <f>AND(#REF!,"AAAAAHer5zk=")</f>
        <v>#REF!</v>
      </c>
      <c r="BG69" t="e">
        <f>AND(#REF!,"AAAAAHer5zo=")</f>
        <v>#REF!</v>
      </c>
      <c r="BH69" t="e">
        <f>AND(#REF!,"AAAAAHer5zs=")</f>
        <v>#REF!</v>
      </c>
      <c r="BI69" t="e">
        <f>AND(#REF!,"AAAAAHer5zw=")</f>
        <v>#REF!</v>
      </c>
      <c r="BJ69" t="e">
        <f>AND(#REF!,"AAAAAHer5z0=")</f>
        <v>#REF!</v>
      </c>
      <c r="BK69" t="e">
        <f>AND(#REF!,"AAAAAHer5z4=")</f>
        <v>#REF!</v>
      </c>
      <c r="BL69" t="e">
        <f>AND(#REF!,"AAAAAHer5z8=")</f>
        <v>#REF!</v>
      </c>
      <c r="BM69" t="e">
        <f>IF(#REF!,"AAAAAHer50A=",0)</f>
        <v>#REF!</v>
      </c>
      <c r="BN69" t="e">
        <f>AND(#REF!,"AAAAAHer50E=")</f>
        <v>#REF!</v>
      </c>
      <c r="BO69" t="e">
        <f>AND(#REF!,"AAAAAHer50I=")</f>
        <v>#REF!</v>
      </c>
      <c r="BP69" t="e">
        <f>AND(#REF!,"AAAAAHer50M=")</f>
        <v>#REF!</v>
      </c>
      <c r="BQ69" t="e">
        <f>AND(#REF!,"AAAAAHer50Q=")</f>
        <v>#REF!</v>
      </c>
      <c r="BR69" t="e">
        <f>AND(#REF!,"AAAAAHer50U=")</f>
        <v>#REF!</v>
      </c>
      <c r="BS69" t="e">
        <f>AND(#REF!,"AAAAAHer50Y=")</f>
        <v>#REF!</v>
      </c>
      <c r="BT69" t="e">
        <f>AND(#REF!,"AAAAAHer50c=")</f>
        <v>#REF!</v>
      </c>
      <c r="BU69" t="e">
        <f>AND(#REF!,"AAAAAHer50g=")</f>
        <v>#REF!</v>
      </c>
      <c r="BV69" t="e">
        <f>AND(#REF!,"AAAAAHer50k=")</f>
        <v>#REF!</v>
      </c>
      <c r="BW69" t="e">
        <f>AND(#REF!,"AAAAAHer50o=")</f>
        <v>#REF!</v>
      </c>
      <c r="BX69" t="e">
        <f>AND(#REF!,"AAAAAHer50s=")</f>
        <v>#REF!</v>
      </c>
      <c r="BY69" t="e">
        <f>AND(#REF!,"AAAAAHer50w=")</f>
        <v>#REF!</v>
      </c>
      <c r="BZ69" t="e">
        <f>AND(#REF!,"AAAAAHer500=")</f>
        <v>#REF!</v>
      </c>
      <c r="CA69" t="e">
        <f>AND(#REF!,"AAAAAHer504=")</f>
        <v>#REF!</v>
      </c>
      <c r="CB69" t="e">
        <f>AND(#REF!,"AAAAAHer508=")</f>
        <v>#REF!</v>
      </c>
      <c r="CC69" t="e">
        <f>AND(#REF!,"AAAAAHer51A=")</f>
        <v>#REF!</v>
      </c>
      <c r="CD69" t="e">
        <f>IF(#REF!,"AAAAAHer51E=",0)</f>
        <v>#REF!</v>
      </c>
      <c r="CE69" t="e">
        <f>AND(#REF!,"AAAAAHer51I=")</f>
        <v>#REF!</v>
      </c>
      <c r="CF69" t="e">
        <f>AND(#REF!,"AAAAAHer51M=")</f>
        <v>#REF!</v>
      </c>
      <c r="CG69" t="e">
        <f>AND(#REF!,"AAAAAHer51Q=")</f>
        <v>#REF!</v>
      </c>
      <c r="CH69" t="e">
        <f>AND(#REF!,"AAAAAHer51U=")</f>
        <v>#REF!</v>
      </c>
      <c r="CI69" t="e">
        <f>AND(#REF!,"AAAAAHer51Y=")</f>
        <v>#REF!</v>
      </c>
      <c r="CJ69" t="e">
        <f>AND(#REF!,"AAAAAHer51c=")</f>
        <v>#REF!</v>
      </c>
      <c r="CK69" t="e">
        <f>AND(#REF!,"AAAAAHer51g=")</f>
        <v>#REF!</v>
      </c>
      <c r="CL69" t="e">
        <f>AND(#REF!,"AAAAAHer51k=")</f>
        <v>#REF!</v>
      </c>
      <c r="CM69" t="e">
        <f>AND(#REF!,"AAAAAHer51o=")</f>
        <v>#REF!</v>
      </c>
      <c r="CN69" t="e">
        <f>AND(#REF!,"AAAAAHer51s=")</f>
        <v>#REF!</v>
      </c>
      <c r="CO69" t="e">
        <f>AND(#REF!,"AAAAAHer51w=")</f>
        <v>#REF!</v>
      </c>
      <c r="CP69" t="e">
        <f>AND(#REF!,"AAAAAHer510=")</f>
        <v>#REF!</v>
      </c>
      <c r="CQ69" t="e">
        <f>AND(#REF!,"AAAAAHer514=")</f>
        <v>#REF!</v>
      </c>
      <c r="CR69" t="e">
        <f>AND(#REF!,"AAAAAHer518=")</f>
        <v>#REF!</v>
      </c>
      <c r="CS69" t="e">
        <f>AND(#REF!,"AAAAAHer52A=")</f>
        <v>#REF!</v>
      </c>
      <c r="CT69" t="e">
        <f>AND(#REF!,"AAAAAHer52E=")</f>
        <v>#REF!</v>
      </c>
      <c r="CU69" t="e">
        <f>IF(#REF!,"AAAAAHer52I=",0)</f>
        <v>#REF!</v>
      </c>
      <c r="CV69" t="e">
        <f>AND(#REF!,"AAAAAHer52M=")</f>
        <v>#REF!</v>
      </c>
      <c r="CW69" t="e">
        <f>AND(#REF!,"AAAAAHer52Q=")</f>
        <v>#REF!</v>
      </c>
      <c r="CX69" t="e">
        <f>AND(#REF!,"AAAAAHer52U=")</f>
        <v>#REF!</v>
      </c>
      <c r="CY69" t="e">
        <f>AND(#REF!,"AAAAAHer52Y=")</f>
        <v>#REF!</v>
      </c>
      <c r="CZ69" t="e">
        <f>AND(#REF!,"AAAAAHer52c=")</f>
        <v>#REF!</v>
      </c>
      <c r="DA69" t="e">
        <f>AND(#REF!,"AAAAAHer52g=")</f>
        <v>#REF!</v>
      </c>
      <c r="DB69" t="e">
        <f>AND(#REF!,"AAAAAHer52k=")</f>
        <v>#REF!</v>
      </c>
      <c r="DC69" t="e">
        <f>AND(#REF!,"AAAAAHer52o=")</f>
        <v>#REF!</v>
      </c>
      <c r="DD69" t="e">
        <f>AND(#REF!,"AAAAAHer52s=")</f>
        <v>#REF!</v>
      </c>
      <c r="DE69" t="e">
        <f>AND(#REF!,"AAAAAHer52w=")</f>
        <v>#REF!</v>
      </c>
      <c r="DF69" t="e">
        <f>AND(#REF!,"AAAAAHer520=")</f>
        <v>#REF!</v>
      </c>
      <c r="DG69" t="e">
        <f>AND(#REF!,"AAAAAHer524=")</f>
        <v>#REF!</v>
      </c>
      <c r="DH69" t="e">
        <f>AND(#REF!,"AAAAAHer528=")</f>
        <v>#REF!</v>
      </c>
      <c r="DI69" t="e">
        <f>AND(#REF!,"AAAAAHer53A=")</f>
        <v>#REF!</v>
      </c>
      <c r="DJ69" t="e">
        <f>AND(#REF!,"AAAAAHer53E=")</f>
        <v>#REF!</v>
      </c>
      <c r="DK69" t="e">
        <f>AND(#REF!,"AAAAAHer53I=")</f>
        <v>#REF!</v>
      </c>
      <c r="DL69" t="e">
        <f>IF(#REF!,"AAAAAHer53M=",0)</f>
        <v>#REF!</v>
      </c>
      <c r="DM69" t="e">
        <f>AND(#REF!,"AAAAAHer53Q=")</f>
        <v>#REF!</v>
      </c>
      <c r="DN69" t="e">
        <f>AND(#REF!,"AAAAAHer53U=")</f>
        <v>#REF!</v>
      </c>
      <c r="DO69" t="e">
        <f>AND(#REF!,"AAAAAHer53Y=")</f>
        <v>#REF!</v>
      </c>
      <c r="DP69" t="e">
        <f>AND(#REF!,"AAAAAHer53c=")</f>
        <v>#REF!</v>
      </c>
      <c r="DQ69" t="e">
        <f>AND(#REF!,"AAAAAHer53g=")</f>
        <v>#REF!</v>
      </c>
      <c r="DR69" t="e">
        <f>AND(#REF!,"AAAAAHer53k=")</f>
        <v>#REF!</v>
      </c>
      <c r="DS69" t="e">
        <f>AND(#REF!,"AAAAAHer53o=")</f>
        <v>#REF!</v>
      </c>
      <c r="DT69" t="e">
        <f>AND(#REF!,"AAAAAHer53s=")</f>
        <v>#REF!</v>
      </c>
      <c r="DU69" t="e">
        <f>AND(#REF!,"AAAAAHer53w=")</f>
        <v>#REF!</v>
      </c>
      <c r="DV69" t="e">
        <f>AND(#REF!,"AAAAAHer530=")</f>
        <v>#REF!</v>
      </c>
      <c r="DW69" t="e">
        <f>AND(#REF!,"AAAAAHer534=")</f>
        <v>#REF!</v>
      </c>
      <c r="DX69" t="e">
        <f>AND(#REF!,"AAAAAHer538=")</f>
        <v>#REF!</v>
      </c>
      <c r="DY69" t="e">
        <f>AND(#REF!,"AAAAAHer54A=")</f>
        <v>#REF!</v>
      </c>
      <c r="DZ69" t="e">
        <f>AND(#REF!,"AAAAAHer54E=")</f>
        <v>#REF!</v>
      </c>
      <c r="EA69" t="e">
        <f>AND(#REF!,"AAAAAHer54I=")</f>
        <v>#REF!</v>
      </c>
      <c r="EB69" t="e">
        <f>AND(#REF!,"AAAAAHer54M=")</f>
        <v>#REF!</v>
      </c>
      <c r="EC69" t="e">
        <f>IF(#REF!,"AAAAAHer54Q=",0)</f>
        <v>#REF!</v>
      </c>
      <c r="ED69" t="e">
        <f>AND(#REF!,"AAAAAHer54U=")</f>
        <v>#REF!</v>
      </c>
      <c r="EE69" t="e">
        <f>AND(#REF!,"AAAAAHer54Y=")</f>
        <v>#REF!</v>
      </c>
      <c r="EF69" t="e">
        <f>AND(#REF!,"AAAAAHer54c=")</f>
        <v>#REF!</v>
      </c>
      <c r="EG69" t="e">
        <f>AND(#REF!,"AAAAAHer54g=")</f>
        <v>#REF!</v>
      </c>
      <c r="EH69" t="e">
        <f>AND(#REF!,"AAAAAHer54k=")</f>
        <v>#REF!</v>
      </c>
      <c r="EI69" t="e">
        <f>AND(#REF!,"AAAAAHer54o=")</f>
        <v>#REF!</v>
      </c>
      <c r="EJ69" t="e">
        <f>AND(#REF!,"AAAAAHer54s=")</f>
        <v>#REF!</v>
      </c>
      <c r="EK69" t="e">
        <f>AND(#REF!,"AAAAAHer54w=")</f>
        <v>#REF!</v>
      </c>
      <c r="EL69" t="e">
        <f>AND(#REF!,"AAAAAHer540=")</f>
        <v>#REF!</v>
      </c>
      <c r="EM69" t="e">
        <f>AND(#REF!,"AAAAAHer544=")</f>
        <v>#REF!</v>
      </c>
      <c r="EN69" t="e">
        <f>AND(#REF!,"AAAAAHer548=")</f>
        <v>#REF!</v>
      </c>
      <c r="EO69" t="e">
        <f>AND(#REF!,"AAAAAHer55A=")</f>
        <v>#REF!</v>
      </c>
      <c r="EP69" t="e">
        <f>AND(#REF!,"AAAAAHer55E=")</f>
        <v>#REF!</v>
      </c>
      <c r="EQ69" t="e">
        <f>AND(#REF!,"AAAAAHer55I=")</f>
        <v>#REF!</v>
      </c>
      <c r="ER69" t="e">
        <f>AND(#REF!,"AAAAAHer55M=")</f>
        <v>#REF!</v>
      </c>
      <c r="ES69" t="e">
        <f>AND(#REF!,"AAAAAHer55Q=")</f>
        <v>#REF!</v>
      </c>
      <c r="ET69" t="e">
        <f>IF(#REF!,"AAAAAHer55U=",0)</f>
        <v>#REF!</v>
      </c>
      <c r="EU69" t="e">
        <f>AND(#REF!,"AAAAAHer55Y=")</f>
        <v>#REF!</v>
      </c>
      <c r="EV69" t="e">
        <f>AND(#REF!,"AAAAAHer55c=")</f>
        <v>#REF!</v>
      </c>
      <c r="EW69" t="e">
        <f>AND(#REF!,"AAAAAHer55g=")</f>
        <v>#REF!</v>
      </c>
      <c r="EX69" t="e">
        <f>AND(#REF!,"AAAAAHer55k=")</f>
        <v>#REF!</v>
      </c>
      <c r="EY69" t="e">
        <f>AND(#REF!,"AAAAAHer55o=")</f>
        <v>#REF!</v>
      </c>
      <c r="EZ69" t="e">
        <f>AND(#REF!,"AAAAAHer55s=")</f>
        <v>#REF!</v>
      </c>
      <c r="FA69" t="e">
        <f>AND(#REF!,"AAAAAHer55w=")</f>
        <v>#REF!</v>
      </c>
      <c r="FB69" t="e">
        <f>AND(#REF!,"AAAAAHer550=")</f>
        <v>#REF!</v>
      </c>
      <c r="FC69" t="e">
        <f>AND(#REF!,"AAAAAHer554=")</f>
        <v>#REF!</v>
      </c>
      <c r="FD69" t="e">
        <f>AND(#REF!,"AAAAAHer558=")</f>
        <v>#REF!</v>
      </c>
      <c r="FE69" t="e">
        <f>AND(#REF!,"AAAAAHer56A=")</f>
        <v>#REF!</v>
      </c>
      <c r="FF69" t="e">
        <f>AND(#REF!,"AAAAAHer56E=")</f>
        <v>#REF!</v>
      </c>
      <c r="FG69" t="e">
        <f>AND(#REF!,"AAAAAHer56I=")</f>
        <v>#REF!</v>
      </c>
      <c r="FH69" t="e">
        <f>AND(#REF!,"AAAAAHer56M=")</f>
        <v>#REF!</v>
      </c>
      <c r="FI69" t="e">
        <f>AND(#REF!,"AAAAAHer56Q=")</f>
        <v>#REF!</v>
      </c>
      <c r="FJ69" t="e">
        <f>AND(#REF!,"AAAAAHer56U=")</f>
        <v>#REF!</v>
      </c>
      <c r="FK69" t="e">
        <f>IF(#REF!,"AAAAAHer56Y=",0)</f>
        <v>#REF!</v>
      </c>
      <c r="FL69" t="e">
        <f>AND(#REF!,"AAAAAHer56c=")</f>
        <v>#REF!</v>
      </c>
      <c r="FM69" t="e">
        <f>AND(#REF!,"AAAAAHer56g=")</f>
        <v>#REF!</v>
      </c>
      <c r="FN69" t="e">
        <f>AND(#REF!,"AAAAAHer56k=")</f>
        <v>#REF!</v>
      </c>
      <c r="FO69" t="e">
        <f>AND(#REF!,"AAAAAHer56o=")</f>
        <v>#REF!</v>
      </c>
      <c r="FP69" t="e">
        <f>AND(#REF!,"AAAAAHer56s=")</f>
        <v>#REF!</v>
      </c>
      <c r="FQ69" t="e">
        <f>AND(#REF!,"AAAAAHer56w=")</f>
        <v>#REF!</v>
      </c>
      <c r="FR69" t="e">
        <f>AND(#REF!,"AAAAAHer560=")</f>
        <v>#REF!</v>
      </c>
      <c r="FS69" t="e">
        <f>AND(#REF!,"AAAAAHer564=")</f>
        <v>#REF!</v>
      </c>
      <c r="FT69" t="e">
        <f>AND(#REF!,"AAAAAHer568=")</f>
        <v>#REF!</v>
      </c>
      <c r="FU69" t="e">
        <f>AND(#REF!,"AAAAAHer57A=")</f>
        <v>#REF!</v>
      </c>
      <c r="FV69" t="e">
        <f>AND(#REF!,"AAAAAHer57E=")</f>
        <v>#REF!</v>
      </c>
      <c r="FW69" t="e">
        <f>AND(#REF!,"AAAAAHer57I=")</f>
        <v>#REF!</v>
      </c>
      <c r="FX69" t="e">
        <f>AND(#REF!,"AAAAAHer57M=")</f>
        <v>#REF!</v>
      </c>
      <c r="FY69" t="e">
        <f>AND(#REF!,"AAAAAHer57Q=")</f>
        <v>#REF!</v>
      </c>
      <c r="FZ69" t="e">
        <f>AND(#REF!,"AAAAAHer57U=")</f>
        <v>#REF!</v>
      </c>
      <c r="GA69" t="e">
        <f>AND(#REF!,"AAAAAHer57Y=")</f>
        <v>#REF!</v>
      </c>
      <c r="GB69" t="e">
        <f>IF(#REF!,"AAAAAHer57c=",0)</f>
        <v>#REF!</v>
      </c>
      <c r="GC69" t="e">
        <f>AND(#REF!,"AAAAAHer57g=")</f>
        <v>#REF!</v>
      </c>
      <c r="GD69" t="e">
        <f>AND(#REF!,"AAAAAHer57k=")</f>
        <v>#REF!</v>
      </c>
      <c r="GE69" t="e">
        <f>AND(#REF!,"AAAAAHer57o=")</f>
        <v>#REF!</v>
      </c>
      <c r="GF69" t="e">
        <f>AND(#REF!,"AAAAAHer57s=")</f>
        <v>#REF!</v>
      </c>
      <c r="GG69" t="e">
        <f>AND(#REF!,"AAAAAHer57w=")</f>
        <v>#REF!</v>
      </c>
      <c r="GH69" t="e">
        <f>AND(#REF!,"AAAAAHer570=")</f>
        <v>#REF!</v>
      </c>
      <c r="GI69" t="e">
        <f>AND(#REF!,"AAAAAHer574=")</f>
        <v>#REF!</v>
      </c>
      <c r="GJ69" t="e">
        <f>AND(#REF!,"AAAAAHer578=")</f>
        <v>#REF!</v>
      </c>
      <c r="GK69" t="e">
        <f>AND(#REF!,"AAAAAHer58A=")</f>
        <v>#REF!</v>
      </c>
      <c r="GL69" t="e">
        <f>AND(#REF!,"AAAAAHer58E=")</f>
        <v>#REF!</v>
      </c>
      <c r="GM69" t="e">
        <f>AND(#REF!,"AAAAAHer58I=")</f>
        <v>#REF!</v>
      </c>
      <c r="GN69" t="e">
        <f>AND(#REF!,"AAAAAHer58M=")</f>
        <v>#REF!</v>
      </c>
      <c r="GO69" t="e">
        <f>AND(#REF!,"AAAAAHer58Q=")</f>
        <v>#REF!</v>
      </c>
      <c r="GP69" t="e">
        <f>AND(#REF!,"AAAAAHer58U=")</f>
        <v>#REF!</v>
      </c>
      <c r="GQ69" t="e">
        <f>AND(#REF!,"AAAAAHer58Y=")</f>
        <v>#REF!</v>
      </c>
      <c r="GR69" t="e">
        <f>AND(#REF!,"AAAAAHer58c=")</f>
        <v>#REF!</v>
      </c>
      <c r="GS69" t="e">
        <f>IF(#REF!,"AAAAAHer58g=",0)</f>
        <v>#REF!</v>
      </c>
      <c r="GT69" t="e">
        <f>AND(#REF!,"AAAAAHer58k=")</f>
        <v>#REF!</v>
      </c>
      <c r="GU69" t="e">
        <f>AND(#REF!,"AAAAAHer58o=")</f>
        <v>#REF!</v>
      </c>
      <c r="GV69" t="e">
        <f>AND(#REF!,"AAAAAHer58s=")</f>
        <v>#REF!</v>
      </c>
      <c r="GW69" t="e">
        <f>AND(#REF!,"AAAAAHer58w=")</f>
        <v>#REF!</v>
      </c>
      <c r="GX69" t="e">
        <f>AND(#REF!,"AAAAAHer580=")</f>
        <v>#REF!</v>
      </c>
      <c r="GY69" t="e">
        <f>AND(#REF!,"AAAAAHer584=")</f>
        <v>#REF!</v>
      </c>
      <c r="GZ69" t="e">
        <f>AND(#REF!,"AAAAAHer588=")</f>
        <v>#REF!</v>
      </c>
      <c r="HA69" t="e">
        <f>AND(#REF!,"AAAAAHer59A=")</f>
        <v>#REF!</v>
      </c>
      <c r="HB69" t="e">
        <f>AND(#REF!,"AAAAAHer59E=")</f>
        <v>#REF!</v>
      </c>
      <c r="HC69" t="e">
        <f>AND(#REF!,"AAAAAHer59I=")</f>
        <v>#REF!</v>
      </c>
      <c r="HD69" t="e">
        <f>AND(#REF!,"AAAAAHer59M=")</f>
        <v>#REF!</v>
      </c>
      <c r="HE69" t="e">
        <f>AND(#REF!,"AAAAAHer59Q=")</f>
        <v>#REF!</v>
      </c>
      <c r="HF69" t="e">
        <f>AND(#REF!,"AAAAAHer59U=")</f>
        <v>#REF!</v>
      </c>
      <c r="HG69" t="e">
        <f>AND(#REF!,"AAAAAHer59Y=")</f>
        <v>#REF!</v>
      </c>
      <c r="HH69" t="e">
        <f>AND(#REF!,"AAAAAHer59c=")</f>
        <v>#REF!</v>
      </c>
      <c r="HI69" t="e">
        <f>AND(#REF!,"AAAAAHer59g=")</f>
        <v>#REF!</v>
      </c>
      <c r="HJ69" t="e">
        <f>IF(#REF!,"AAAAAHer59k=",0)</f>
        <v>#REF!</v>
      </c>
      <c r="HK69" t="e">
        <f>AND(#REF!,"AAAAAHer59o=")</f>
        <v>#REF!</v>
      </c>
      <c r="HL69" t="e">
        <f>AND(#REF!,"AAAAAHer59s=")</f>
        <v>#REF!</v>
      </c>
      <c r="HM69" t="e">
        <f>AND(#REF!,"AAAAAHer59w=")</f>
        <v>#REF!</v>
      </c>
      <c r="HN69" t="e">
        <f>AND(#REF!,"AAAAAHer590=")</f>
        <v>#REF!</v>
      </c>
      <c r="HO69" t="e">
        <f>AND(#REF!,"AAAAAHer594=")</f>
        <v>#REF!</v>
      </c>
      <c r="HP69" t="e">
        <f>AND(#REF!,"AAAAAHer598=")</f>
        <v>#REF!</v>
      </c>
      <c r="HQ69" t="e">
        <f>AND(#REF!,"AAAAAHer5+A=")</f>
        <v>#REF!</v>
      </c>
      <c r="HR69" t="e">
        <f>AND(#REF!,"AAAAAHer5+E=")</f>
        <v>#REF!</v>
      </c>
      <c r="HS69" t="e">
        <f>AND(#REF!,"AAAAAHer5+I=")</f>
        <v>#REF!</v>
      </c>
      <c r="HT69" t="e">
        <f>AND(#REF!,"AAAAAHer5+M=")</f>
        <v>#REF!</v>
      </c>
      <c r="HU69" t="e">
        <f>AND(#REF!,"AAAAAHer5+Q=")</f>
        <v>#REF!</v>
      </c>
      <c r="HV69" t="e">
        <f>AND(#REF!,"AAAAAHer5+U=")</f>
        <v>#REF!</v>
      </c>
      <c r="HW69" t="e">
        <f>AND(#REF!,"AAAAAHer5+Y=")</f>
        <v>#REF!</v>
      </c>
      <c r="HX69" t="e">
        <f>AND(#REF!,"AAAAAHer5+c=")</f>
        <v>#REF!</v>
      </c>
      <c r="HY69" t="e">
        <f>AND(#REF!,"AAAAAHer5+g=")</f>
        <v>#REF!</v>
      </c>
      <c r="HZ69" t="e">
        <f>AND(#REF!,"AAAAAHer5+k=")</f>
        <v>#REF!</v>
      </c>
      <c r="IA69" t="e">
        <f>IF(#REF!,"AAAAAHer5+o=",0)</f>
        <v>#REF!</v>
      </c>
      <c r="IB69" t="e">
        <f>AND(#REF!,"AAAAAHer5+s=")</f>
        <v>#REF!</v>
      </c>
      <c r="IC69" t="e">
        <f>AND(#REF!,"AAAAAHer5+w=")</f>
        <v>#REF!</v>
      </c>
      <c r="ID69" t="e">
        <f>AND(#REF!,"AAAAAHer5+0=")</f>
        <v>#REF!</v>
      </c>
      <c r="IE69" t="e">
        <f>AND(#REF!,"AAAAAHer5+4=")</f>
        <v>#REF!</v>
      </c>
      <c r="IF69" t="e">
        <f>AND(#REF!,"AAAAAHer5+8=")</f>
        <v>#REF!</v>
      </c>
      <c r="IG69" t="e">
        <f>AND(#REF!,"AAAAAHer5/A=")</f>
        <v>#REF!</v>
      </c>
      <c r="IH69" t="e">
        <f>AND(#REF!,"AAAAAHer5/E=")</f>
        <v>#REF!</v>
      </c>
      <c r="II69" t="e">
        <f>AND(#REF!,"AAAAAHer5/I=")</f>
        <v>#REF!</v>
      </c>
      <c r="IJ69" t="e">
        <f>AND(#REF!,"AAAAAHer5/M=")</f>
        <v>#REF!</v>
      </c>
      <c r="IK69" t="e">
        <f>AND(#REF!,"AAAAAHer5/Q=")</f>
        <v>#REF!</v>
      </c>
      <c r="IL69" t="e">
        <f>AND(#REF!,"AAAAAHer5/U=")</f>
        <v>#REF!</v>
      </c>
      <c r="IM69" t="e">
        <f>AND(#REF!,"AAAAAHer5/Y=")</f>
        <v>#REF!</v>
      </c>
      <c r="IN69" t="e">
        <f>AND(#REF!,"AAAAAHer5/c=")</f>
        <v>#REF!</v>
      </c>
      <c r="IO69" t="e">
        <f>AND(#REF!,"AAAAAHer5/g=")</f>
        <v>#REF!</v>
      </c>
      <c r="IP69" t="e">
        <f>AND(#REF!,"AAAAAHer5/k=")</f>
        <v>#REF!</v>
      </c>
      <c r="IQ69" t="e">
        <f>AND(#REF!,"AAAAAHer5/o=")</f>
        <v>#REF!</v>
      </c>
      <c r="IR69" t="e">
        <f>IF(#REF!,"AAAAAHer5/s=",0)</f>
        <v>#REF!</v>
      </c>
      <c r="IS69" t="e">
        <f>AND(#REF!,"AAAAAHer5/w=")</f>
        <v>#REF!</v>
      </c>
      <c r="IT69" t="e">
        <f>AND(#REF!,"AAAAAHer5/0=")</f>
        <v>#REF!</v>
      </c>
      <c r="IU69" t="e">
        <f>AND(#REF!,"AAAAAHer5/4=")</f>
        <v>#REF!</v>
      </c>
      <c r="IV69" t="e">
        <f>AND(#REF!,"AAAAAHer5/8=")</f>
        <v>#REF!</v>
      </c>
    </row>
    <row r="70" spans="1:256" x14ac:dyDescent="0.25">
      <c r="A70" t="e">
        <f>AND(#REF!,"AAAAAEvNLwA=")</f>
        <v>#REF!</v>
      </c>
      <c r="B70" t="e">
        <f>AND(#REF!,"AAAAAEvNLwE=")</f>
        <v>#REF!</v>
      </c>
      <c r="C70" t="e">
        <f>AND(#REF!,"AAAAAEvNLwI=")</f>
        <v>#REF!</v>
      </c>
      <c r="D70" t="e">
        <f>AND(#REF!,"AAAAAEvNLwM=")</f>
        <v>#REF!</v>
      </c>
      <c r="E70" t="e">
        <f>AND(#REF!,"AAAAAEvNLwQ=")</f>
        <v>#REF!</v>
      </c>
      <c r="F70" t="e">
        <f>AND(#REF!,"AAAAAEvNLwU=")</f>
        <v>#REF!</v>
      </c>
      <c r="G70" t="e">
        <f>AND(#REF!,"AAAAAEvNLwY=")</f>
        <v>#REF!</v>
      </c>
      <c r="H70" t="e">
        <f>AND(#REF!,"AAAAAEvNLwc=")</f>
        <v>#REF!</v>
      </c>
      <c r="I70" t="e">
        <f>AND(#REF!,"AAAAAEvNLwg=")</f>
        <v>#REF!</v>
      </c>
      <c r="J70" t="e">
        <f>AND(#REF!,"AAAAAEvNLwk=")</f>
        <v>#REF!</v>
      </c>
      <c r="K70" t="e">
        <f>AND(#REF!,"AAAAAEvNLwo=")</f>
        <v>#REF!</v>
      </c>
      <c r="L70" t="e">
        <f>AND(#REF!,"AAAAAEvNLws=")</f>
        <v>#REF!</v>
      </c>
      <c r="M70" t="e">
        <f>IF(#REF!,"AAAAAEvNLww=",0)</f>
        <v>#REF!</v>
      </c>
      <c r="N70" t="e">
        <f>AND(#REF!,"AAAAAEvNLw0=")</f>
        <v>#REF!</v>
      </c>
      <c r="O70" t="e">
        <f>AND(#REF!,"AAAAAEvNLw4=")</f>
        <v>#REF!</v>
      </c>
      <c r="P70" t="e">
        <f>AND(#REF!,"AAAAAEvNLw8=")</f>
        <v>#REF!</v>
      </c>
      <c r="Q70" t="e">
        <f>AND(#REF!,"AAAAAEvNLxA=")</f>
        <v>#REF!</v>
      </c>
      <c r="R70" t="e">
        <f>AND(#REF!,"AAAAAEvNLxE=")</f>
        <v>#REF!</v>
      </c>
      <c r="S70" t="e">
        <f>AND(#REF!,"AAAAAEvNLxI=")</f>
        <v>#REF!</v>
      </c>
      <c r="T70" t="e">
        <f>AND(#REF!,"AAAAAEvNLxM=")</f>
        <v>#REF!</v>
      </c>
      <c r="U70" t="e">
        <f>AND(#REF!,"AAAAAEvNLxQ=")</f>
        <v>#REF!</v>
      </c>
      <c r="V70" t="e">
        <f>AND(#REF!,"AAAAAEvNLxU=")</f>
        <v>#REF!</v>
      </c>
      <c r="W70" t="e">
        <f>AND(#REF!,"AAAAAEvNLxY=")</f>
        <v>#REF!</v>
      </c>
      <c r="X70" t="e">
        <f>AND(#REF!,"AAAAAEvNLxc=")</f>
        <v>#REF!</v>
      </c>
      <c r="Y70" t="e">
        <f>AND(#REF!,"AAAAAEvNLxg=")</f>
        <v>#REF!</v>
      </c>
      <c r="Z70" t="e">
        <f>AND(#REF!,"AAAAAEvNLxk=")</f>
        <v>#REF!</v>
      </c>
      <c r="AA70" t="e">
        <f>AND(#REF!,"AAAAAEvNLxo=")</f>
        <v>#REF!</v>
      </c>
      <c r="AB70" t="e">
        <f>AND(#REF!,"AAAAAEvNLxs=")</f>
        <v>#REF!</v>
      </c>
      <c r="AC70" t="e">
        <f>AND(#REF!,"AAAAAEvNLxw=")</f>
        <v>#REF!</v>
      </c>
      <c r="AD70" t="e">
        <f>IF(#REF!,"AAAAAEvNLx0=",0)</f>
        <v>#REF!</v>
      </c>
      <c r="AE70" t="e">
        <f>AND(#REF!,"AAAAAEvNLx4=")</f>
        <v>#REF!</v>
      </c>
      <c r="AF70" t="e">
        <f>AND(#REF!,"AAAAAEvNLx8=")</f>
        <v>#REF!</v>
      </c>
      <c r="AG70" t="e">
        <f>AND(#REF!,"AAAAAEvNLyA=")</f>
        <v>#REF!</v>
      </c>
      <c r="AH70" t="e">
        <f>AND(#REF!,"AAAAAEvNLyE=")</f>
        <v>#REF!</v>
      </c>
      <c r="AI70" t="e">
        <f>AND(#REF!,"AAAAAEvNLyI=")</f>
        <v>#REF!</v>
      </c>
      <c r="AJ70" t="e">
        <f>AND(#REF!,"AAAAAEvNLyM=")</f>
        <v>#REF!</v>
      </c>
      <c r="AK70" t="e">
        <f>AND(#REF!,"AAAAAEvNLyQ=")</f>
        <v>#REF!</v>
      </c>
      <c r="AL70" t="e">
        <f>AND(#REF!,"AAAAAEvNLyU=")</f>
        <v>#REF!</v>
      </c>
      <c r="AM70" t="e">
        <f>AND(#REF!,"AAAAAEvNLyY=")</f>
        <v>#REF!</v>
      </c>
      <c r="AN70" t="e">
        <f>AND(#REF!,"AAAAAEvNLyc=")</f>
        <v>#REF!</v>
      </c>
      <c r="AO70" t="e">
        <f>AND(#REF!,"AAAAAEvNLyg=")</f>
        <v>#REF!</v>
      </c>
      <c r="AP70" t="e">
        <f>AND(#REF!,"AAAAAEvNLyk=")</f>
        <v>#REF!</v>
      </c>
      <c r="AQ70" t="e">
        <f>AND(#REF!,"AAAAAEvNLyo=")</f>
        <v>#REF!</v>
      </c>
      <c r="AR70" t="e">
        <f>AND(#REF!,"AAAAAEvNLys=")</f>
        <v>#REF!</v>
      </c>
      <c r="AS70" t="e">
        <f>AND(#REF!,"AAAAAEvNLyw=")</f>
        <v>#REF!</v>
      </c>
      <c r="AT70" t="e">
        <f>AND(#REF!,"AAAAAEvNLy0=")</f>
        <v>#REF!</v>
      </c>
      <c r="AU70" t="e">
        <f>IF(#REF!,"AAAAAEvNLy4=",0)</f>
        <v>#REF!</v>
      </c>
      <c r="AV70" t="e">
        <f>AND(#REF!,"AAAAAEvNLy8=")</f>
        <v>#REF!</v>
      </c>
      <c r="AW70" t="e">
        <f>AND(#REF!,"AAAAAEvNLzA=")</f>
        <v>#REF!</v>
      </c>
      <c r="AX70" t="e">
        <f>AND(#REF!,"AAAAAEvNLzE=")</f>
        <v>#REF!</v>
      </c>
      <c r="AY70" t="e">
        <f>AND(#REF!,"AAAAAEvNLzI=")</f>
        <v>#REF!</v>
      </c>
      <c r="AZ70" t="e">
        <f>AND(#REF!,"AAAAAEvNLzM=")</f>
        <v>#REF!</v>
      </c>
      <c r="BA70" t="e">
        <f>AND(#REF!,"AAAAAEvNLzQ=")</f>
        <v>#REF!</v>
      </c>
      <c r="BB70" t="e">
        <f>AND(#REF!,"AAAAAEvNLzU=")</f>
        <v>#REF!</v>
      </c>
      <c r="BC70" t="e">
        <f>AND(#REF!,"AAAAAEvNLzY=")</f>
        <v>#REF!</v>
      </c>
      <c r="BD70" t="e">
        <f>AND(#REF!,"AAAAAEvNLzc=")</f>
        <v>#REF!</v>
      </c>
      <c r="BE70" t="e">
        <f>AND(#REF!,"AAAAAEvNLzg=")</f>
        <v>#REF!</v>
      </c>
      <c r="BF70" t="e">
        <f>AND(#REF!,"AAAAAEvNLzk=")</f>
        <v>#REF!</v>
      </c>
      <c r="BG70" t="e">
        <f>AND(#REF!,"AAAAAEvNLzo=")</f>
        <v>#REF!</v>
      </c>
      <c r="BH70" t="e">
        <f>AND(#REF!,"AAAAAEvNLzs=")</f>
        <v>#REF!</v>
      </c>
      <c r="BI70" t="e">
        <f>AND(#REF!,"AAAAAEvNLzw=")</f>
        <v>#REF!</v>
      </c>
      <c r="BJ70" t="e">
        <f>AND(#REF!,"AAAAAEvNLz0=")</f>
        <v>#REF!</v>
      </c>
      <c r="BK70" t="e">
        <f>AND(#REF!,"AAAAAEvNLz4=")</f>
        <v>#REF!</v>
      </c>
      <c r="BL70" t="e">
        <f>IF(#REF!,"AAAAAEvNLz8=",0)</f>
        <v>#REF!</v>
      </c>
      <c r="BM70" t="e">
        <f>AND(#REF!,"AAAAAEvNL0A=")</f>
        <v>#REF!</v>
      </c>
      <c r="BN70" t="e">
        <f>AND(#REF!,"AAAAAEvNL0E=")</f>
        <v>#REF!</v>
      </c>
      <c r="BO70" t="e">
        <f>AND(#REF!,"AAAAAEvNL0I=")</f>
        <v>#REF!</v>
      </c>
      <c r="BP70" t="e">
        <f>AND(#REF!,"AAAAAEvNL0M=")</f>
        <v>#REF!</v>
      </c>
      <c r="BQ70" t="e">
        <f>AND(#REF!,"AAAAAEvNL0Q=")</f>
        <v>#REF!</v>
      </c>
      <c r="BR70" t="e">
        <f>AND(#REF!,"AAAAAEvNL0U=")</f>
        <v>#REF!</v>
      </c>
      <c r="BS70" t="e">
        <f>AND(#REF!,"AAAAAEvNL0Y=")</f>
        <v>#REF!</v>
      </c>
      <c r="BT70" t="e">
        <f>AND(#REF!,"AAAAAEvNL0c=")</f>
        <v>#REF!</v>
      </c>
      <c r="BU70" t="e">
        <f>AND(#REF!,"AAAAAEvNL0g=")</f>
        <v>#REF!</v>
      </c>
      <c r="BV70" t="e">
        <f>AND(#REF!,"AAAAAEvNL0k=")</f>
        <v>#REF!</v>
      </c>
      <c r="BW70" t="e">
        <f>AND(#REF!,"AAAAAEvNL0o=")</f>
        <v>#REF!</v>
      </c>
      <c r="BX70" t="e">
        <f>AND(#REF!,"AAAAAEvNL0s=")</f>
        <v>#REF!</v>
      </c>
      <c r="BY70" t="e">
        <f>AND(#REF!,"AAAAAEvNL0w=")</f>
        <v>#REF!</v>
      </c>
      <c r="BZ70" t="e">
        <f>AND(#REF!,"AAAAAEvNL00=")</f>
        <v>#REF!</v>
      </c>
      <c r="CA70" t="e">
        <f>AND(#REF!,"AAAAAEvNL04=")</f>
        <v>#REF!</v>
      </c>
      <c r="CB70" t="e">
        <f>AND(#REF!,"AAAAAEvNL08=")</f>
        <v>#REF!</v>
      </c>
      <c r="CC70" t="e">
        <f>IF(#REF!,"AAAAAEvNL1A=",0)</f>
        <v>#REF!</v>
      </c>
      <c r="CD70" t="e">
        <f>AND(#REF!,"AAAAAEvNL1E=")</f>
        <v>#REF!</v>
      </c>
      <c r="CE70" t="e">
        <f>AND(#REF!,"AAAAAEvNL1I=")</f>
        <v>#REF!</v>
      </c>
      <c r="CF70" t="e">
        <f>AND(#REF!,"AAAAAEvNL1M=")</f>
        <v>#REF!</v>
      </c>
      <c r="CG70" t="e">
        <f>AND(#REF!,"AAAAAEvNL1Q=")</f>
        <v>#REF!</v>
      </c>
      <c r="CH70" t="e">
        <f>AND(#REF!,"AAAAAEvNL1U=")</f>
        <v>#REF!</v>
      </c>
      <c r="CI70" t="e">
        <f>AND(#REF!,"AAAAAEvNL1Y=")</f>
        <v>#REF!</v>
      </c>
      <c r="CJ70" t="e">
        <f>AND(#REF!,"AAAAAEvNL1c=")</f>
        <v>#REF!</v>
      </c>
      <c r="CK70" t="e">
        <f>AND(#REF!,"AAAAAEvNL1g=")</f>
        <v>#REF!</v>
      </c>
      <c r="CL70" t="e">
        <f>AND(#REF!,"AAAAAEvNL1k=")</f>
        <v>#REF!</v>
      </c>
      <c r="CM70" t="e">
        <f>AND(#REF!,"AAAAAEvNL1o=")</f>
        <v>#REF!</v>
      </c>
      <c r="CN70" t="e">
        <f>AND(#REF!,"AAAAAEvNL1s=")</f>
        <v>#REF!</v>
      </c>
      <c r="CO70" t="e">
        <f>AND(#REF!,"AAAAAEvNL1w=")</f>
        <v>#REF!</v>
      </c>
      <c r="CP70" t="e">
        <f>AND(#REF!,"AAAAAEvNL10=")</f>
        <v>#REF!</v>
      </c>
      <c r="CQ70" t="e">
        <f>AND(#REF!,"AAAAAEvNL14=")</f>
        <v>#REF!</v>
      </c>
      <c r="CR70" t="e">
        <f>AND(#REF!,"AAAAAEvNL18=")</f>
        <v>#REF!</v>
      </c>
      <c r="CS70" t="e">
        <f>AND(#REF!,"AAAAAEvNL2A=")</f>
        <v>#REF!</v>
      </c>
      <c r="CT70" t="e">
        <f>IF(#REF!,"AAAAAEvNL2E=",0)</f>
        <v>#REF!</v>
      </c>
      <c r="CU70" t="e">
        <f>AND(#REF!,"AAAAAEvNL2I=")</f>
        <v>#REF!</v>
      </c>
      <c r="CV70" t="e">
        <f>AND(#REF!,"AAAAAEvNL2M=")</f>
        <v>#REF!</v>
      </c>
      <c r="CW70" t="e">
        <f>AND(#REF!,"AAAAAEvNL2Q=")</f>
        <v>#REF!</v>
      </c>
      <c r="CX70" t="e">
        <f>AND(#REF!,"AAAAAEvNL2U=")</f>
        <v>#REF!</v>
      </c>
      <c r="CY70" t="e">
        <f>AND(#REF!,"AAAAAEvNL2Y=")</f>
        <v>#REF!</v>
      </c>
      <c r="CZ70" t="e">
        <f>AND(#REF!,"AAAAAEvNL2c=")</f>
        <v>#REF!</v>
      </c>
      <c r="DA70" t="e">
        <f>AND(#REF!,"AAAAAEvNL2g=")</f>
        <v>#REF!</v>
      </c>
      <c r="DB70" t="e">
        <f>AND(#REF!,"AAAAAEvNL2k=")</f>
        <v>#REF!</v>
      </c>
      <c r="DC70" t="e">
        <f>AND(#REF!,"AAAAAEvNL2o=")</f>
        <v>#REF!</v>
      </c>
      <c r="DD70" t="e">
        <f>AND(#REF!,"AAAAAEvNL2s=")</f>
        <v>#REF!</v>
      </c>
      <c r="DE70" t="e">
        <f>AND(#REF!,"AAAAAEvNL2w=")</f>
        <v>#REF!</v>
      </c>
      <c r="DF70" t="e">
        <f>AND(#REF!,"AAAAAEvNL20=")</f>
        <v>#REF!</v>
      </c>
      <c r="DG70" t="e">
        <f>AND(#REF!,"AAAAAEvNL24=")</f>
        <v>#REF!</v>
      </c>
      <c r="DH70" t="e">
        <f>AND(#REF!,"AAAAAEvNL28=")</f>
        <v>#REF!</v>
      </c>
      <c r="DI70" t="e">
        <f>AND(#REF!,"AAAAAEvNL3A=")</f>
        <v>#REF!</v>
      </c>
      <c r="DJ70" t="e">
        <f>AND(#REF!,"AAAAAEvNL3E=")</f>
        <v>#REF!</v>
      </c>
      <c r="DK70" t="e">
        <f>IF(#REF!,"AAAAAEvNL3I=",0)</f>
        <v>#REF!</v>
      </c>
      <c r="DL70" t="e">
        <f>AND(#REF!,"AAAAAEvNL3M=")</f>
        <v>#REF!</v>
      </c>
      <c r="DM70" t="e">
        <f>AND(#REF!,"AAAAAEvNL3Q=")</f>
        <v>#REF!</v>
      </c>
      <c r="DN70" t="e">
        <f>AND(#REF!,"AAAAAEvNL3U=")</f>
        <v>#REF!</v>
      </c>
      <c r="DO70" t="e">
        <f>AND(#REF!,"AAAAAEvNL3Y=")</f>
        <v>#REF!</v>
      </c>
      <c r="DP70" t="e">
        <f>AND(#REF!,"AAAAAEvNL3c=")</f>
        <v>#REF!</v>
      </c>
      <c r="DQ70" t="e">
        <f>AND(#REF!,"AAAAAEvNL3g=")</f>
        <v>#REF!</v>
      </c>
      <c r="DR70" t="e">
        <f>AND(#REF!,"AAAAAEvNL3k=")</f>
        <v>#REF!</v>
      </c>
      <c r="DS70" t="e">
        <f>AND(#REF!,"AAAAAEvNL3o=")</f>
        <v>#REF!</v>
      </c>
      <c r="DT70" t="e">
        <f>AND(#REF!,"AAAAAEvNL3s=")</f>
        <v>#REF!</v>
      </c>
      <c r="DU70" t="e">
        <f>AND(#REF!,"AAAAAEvNL3w=")</f>
        <v>#REF!</v>
      </c>
      <c r="DV70" t="e">
        <f>AND(#REF!,"AAAAAEvNL30=")</f>
        <v>#REF!</v>
      </c>
      <c r="DW70" t="e">
        <f>AND(#REF!,"AAAAAEvNL34=")</f>
        <v>#REF!</v>
      </c>
      <c r="DX70" t="e">
        <f>AND(#REF!,"AAAAAEvNL38=")</f>
        <v>#REF!</v>
      </c>
      <c r="DY70" t="e">
        <f>AND(#REF!,"AAAAAEvNL4A=")</f>
        <v>#REF!</v>
      </c>
      <c r="DZ70" t="e">
        <f>AND(#REF!,"AAAAAEvNL4E=")</f>
        <v>#REF!</v>
      </c>
      <c r="EA70" t="e">
        <f>AND(#REF!,"AAAAAEvNL4I=")</f>
        <v>#REF!</v>
      </c>
      <c r="EB70" t="e">
        <f>IF(#REF!,"AAAAAEvNL4M=",0)</f>
        <v>#REF!</v>
      </c>
      <c r="EC70" t="e">
        <f>AND(#REF!,"AAAAAEvNL4Q=")</f>
        <v>#REF!</v>
      </c>
      <c r="ED70" t="e">
        <f>AND(#REF!,"AAAAAEvNL4U=")</f>
        <v>#REF!</v>
      </c>
      <c r="EE70" t="e">
        <f>AND(#REF!,"AAAAAEvNL4Y=")</f>
        <v>#REF!</v>
      </c>
      <c r="EF70" t="e">
        <f>AND(#REF!,"AAAAAEvNL4c=")</f>
        <v>#REF!</v>
      </c>
      <c r="EG70" t="e">
        <f>AND(#REF!,"AAAAAEvNL4g=")</f>
        <v>#REF!</v>
      </c>
      <c r="EH70" t="e">
        <f>AND(#REF!,"AAAAAEvNL4k=")</f>
        <v>#REF!</v>
      </c>
      <c r="EI70" t="e">
        <f>AND(#REF!,"AAAAAEvNL4o=")</f>
        <v>#REF!</v>
      </c>
      <c r="EJ70" t="e">
        <f>AND(#REF!,"AAAAAEvNL4s=")</f>
        <v>#REF!</v>
      </c>
      <c r="EK70" t="e">
        <f>AND(#REF!,"AAAAAEvNL4w=")</f>
        <v>#REF!</v>
      </c>
      <c r="EL70" t="e">
        <f>AND(#REF!,"AAAAAEvNL40=")</f>
        <v>#REF!</v>
      </c>
      <c r="EM70" t="e">
        <f>AND(#REF!,"AAAAAEvNL44=")</f>
        <v>#REF!</v>
      </c>
      <c r="EN70" t="e">
        <f>AND(#REF!,"AAAAAEvNL48=")</f>
        <v>#REF!</v>
      </c>
      <c r="EO70" t="e">
        <f>AND(#REF!,"AAAAAEvNL5A=")</f>
        <v>#REF!</v>
      </c>
      <c r="EP70" t="e">
        <f>AND(#REF!,"AAAAAEvNL5E=")</f>
        <v>#REF!</v>
      </c>
      <c r="EQ70" t="e">
        <f>AND(#REF!,"AAAAAEvNL5I=")</f>
        <v>#REF!</v>
      </c>
      <c r="ER70" t="e">
        <f>AND(#REF!,"AAAAAEvNL5M=")</f>
        <v>#REF!</v>
      </c>
      <c r="ES70" t="e">
        <f>IF(#REF!,"AAAAAEvNL5Q=",0)</f>
        <v>#REF!</v>
      </c>
      <c r="ET70" t="e">
        <f>AND(#REF!,"AAAAAEvNL5U=")</f>
        <v>#REF!</v>
      </c>
      <c r="EU70" t="e">
        <f>AND(#REF!,"AAAAAEvNL5Y=")</f>
        <v>#REF!</v>
      </c>
      <c r="EV70" t="e">
        <f>AND(#REF!,"AAAAAEvNL5c=")</f>
        <v>#REF!</v>
      </c>
      <c r="EW70" t="e">
        <f>AND(#REF!,"AAAAAEvNL5g=")</f>
        <v>#REF!</v>
      </c>
      <c r="EX70" t="e">
        <f>AND(#REF!,"AAAAAEvNL5k=")</f>
        <v>#REF!</v>
      </c>
      <c r="EY70" t="e">
        <f>AND(#REF!,"AAAAAEvNL5o=")</f>
        <v>#REF!</v>
      </c>
      <c r="EZ70" t="e">
        <f>AND(#REF!,"AAAAAEvNL5s=")</f>
        <v>#REF!</v>
      </c>
      <c r="FA70" t="e">
        <f>AND(#REF!,"AAAAAEvNL5w=")</f>
        <v>#REF!</v>
      </c>
      <c r="FB70" t="e">
        <f>AND(#REF!,"AAAAAEvNL50=")</f>
        <v>#REF!</v>
      </c>
      <c r="FC70" t="e">
        <f>AND(#REF!,"AAAAAEvNL54=")</f>
        <v>#REF!</v>
      </c>
      <c r="FD70" t="e">
        <f>AND(#REF!,"AAAAAEvNL58=")</f>
        <v>#REF!</v>
      </c>
      <c r="FE70" t="e">
        <f>AND(#REF!,"AAAAAEvNL6A=")</f>
        <v>#REF!</v>
      </c>
      <c r="FF70" t="e">
        <f>AND(#REF!,"AAAAAEvNL6E=")</f>
        <v>#REF!</v>
      </c>
      <c r="FG70" t="e">
        <f>AND(#REF!,"AAAAAEvNL6I=")</f>
        <v>#REF!</v>
      </c>
      <c r="FH70" t="e">
        <f>AND(#REF!,"AAAAAEvNL6M=")</f>
        <v>#REF!</v>
      </c>
      <c r="FI70" t="e">
        <f>AND(#REF!,"AAAAAEvNL6Q=")</f>
        <v>#REF!</v>
      </c>
      <c r="FJ70" t="e">
        <f>IF(#REF!,"AAAAAEvNL6U=",0)</f>
        <v>#REF!</v>
      </c>
      <c r="FK70" t="e">
        <f>AND(#REF!,"AAAAAEvNL6Y=")</f>
        <v>#REF!</v>
      </c>
      <c r="FL70" t="e">
        <f>AND(#REF!,"AAAAAEvNL6c=")</f>
        <v>#REF!</v>
      </c>
      <c r="FM70" t="e">
        <f>AND(#REF!,"AAAAAEvNL6g=")</f>
        <v>#REF!</v>
      </c>
      <c r="FN70" t="e">
        <f>AND(#REF!,"AAAAAEvNL6k=")</f>
        <v>#REF!</v>
      </c>
      <c r="FO70" t="e">
        <f>AND(#REF!,"AAAAAEvNL6o=")</f>
        <v>#REF!</v>
      </c>
      <c r="FP70" t="e">
        <f>AND(#REF!,"AAAAAEvNL6s=")</f>
        <v>#REF!</v>
      </c>
      <c r="FQ70" t="e">
        <f>AND(#REF!,"AAAAAEvNL6w=")</f>
        <v>#REF!</v>
      </c>
      <c r="FR70" t="e">
        <f>AND(#REF!,"AAAAAEvNL60=")</f>
        <v>#REF!</v>
      </c>
      <c r="FS70" t="e">
        <f>AND(#REF!,"AAAAAEvNL64=")</f>
        <v>#REF!</v>
      </c>
      <c r="FT70" t="e">
        <f>AND(#REF!,"AAAAAEvNL68=")</f>
        <v>#REF!</v>
      </c>
      <c r="FU70" t="e">
        <f>AND(#REF!,"AAAAAEvNL7A=")</f>
        <v>#REF!</v>
      </c>
      <c r="FV70" t="e">
        <f>AND(#REF!,"AAAAAEvNL7E=")</f>
        <v>#REF!</v>
      </c>
      <c r="FW70" t="e">
        <f>AND(#REF!,"AAAAAEvNL7I=")</f>
        <v>#REF!</v>
      </c>
      <c r="FX70" t="e">
        <f>AND(#REF!,"AAAAAEvNL7M=")</f>
        <v>#REF!</v>
      </c>
      <c r="FY70" t="e">
        <f>AND(#REF!,"AAAAAEvNL7Q=")</f>
        <v>#REF!</v>
      </c>
      <c r="FZ70" t="e">
        <f>AND(#REF!,"AAAAAEvNL7U=")</f>
        <v>#REF!</v>
      </c>
      <c r="GA70" t="e">
        <f>IF(#REF!,"AAAAAEvNL7Y=",0)</f>
        <v>#REF!</v>
      </c>
      <c r="GB70" t="e">
        <f>AND(#REF!,"AAAAAEvNL7c=")</f>
        <v>#REF!</v>
      </c>
      <c r="GC70" t="e">
        <f>AND(#REF!,"AAAAAEvNL7g=")</f>
        <v>#REF!</v>
      </c>
      <c r="GD70" t="e">
        <f>AND(#REF!,"AAAAAEvNL7k=")</f>
        <v>#REF!</v>
      </c>
      <c r="GE70" t="e">
        <f>AND(#REF!,"AAAAAEvNL7o=")</f>
        <v>#REF!</v>
      </c>
      <c r="GF70" t="e">
        <f>AND(#REF!,"AAAAAEvNL7s=")</f>
        <v>#REF!</v>
      </c>
      <c r="GG70" t="e">
        <f>AND(#REF!,"AAAAAEvNL7w=")</f>
        <v>#REF!</v>
      </c>
      <c r="GH70" t="e">
        <f>AND(#REF!,"AAAAAEvNL70=")</f>
        <v>#REF!</v>
      </c>
      <c r="GI70" t="e">
        <f>AND(#REF!,"AAAAAEvNL74=")</f>
        <v>#REF!</v>
      </c>
      <c r="GJ70" t="e">
        <f>AND(#REF!,"AAAAAEvNL78=")</f>
        <v>#REF!</v>
      </c>
      <c r="GK70" t="e">
        <f>AND(#REF!,"AAAAAEvNL8A=")</f>
        <v>#REF!</v>
      </c>
      <c r="GL70" t="e">
        <f>AND(#REF!,"AAAAAEvNL8E=")</f>
        <v>#REF!</v>
      </c>
      <c r="GM70" t="e">
        <f>AND(#REF!,"AAAAAEvNL8I=")</f>
        <v>#REF!</v>
      </c>
      <c r="GN70" t="e">
        <f>AND(#REF!,"AAAAAEvNL8M=")</f>
        <v>#REF!</v>
      </c>
      <c r="GO70" t="e">
        <f>AND(#REF!,"AAAAAEvNL8Q=")</f>
        <v>#REF!</v>
      </c>
      <c r="GP70" t="e">
        <f>AND(#REF!,"AAAAAEvNL8U=")</f>
        <v>#REF!</v>
      </c>
      <c r="GQ70" t="e">
        <f>AND(#REF!,"AAAAAEvNL8Y=")</f>
        <v>#REF!</v>
      </c>
      <c r="GR70" t="e">
        <f>IF(#REF!,"AAAAAEvNL8c=",0)</f>
        <v>#REF!</v>
      </c>
      <c r="GS70" t="e">
        <f>AND(#REF!,"AAAAAEvNL8g=")</f>
        <v>#REF!</v>
      </c>
      <c r="GT70" t="e">
        <f>AND(#REF!,"AAAAAEvNL8k=")</f>
        <v>#REF!</v>
      </c>
      <c r="GU70" t="e">
        <f>AND(#REF!,"AAAAAEvNL8o=")</f>
        <v>#REF!</v>
      </c>
      <c r="GV70" t="e">
        <f>AND(#REF!,"AAAAAEvNL8s=")</f>
        <v>#REF!</v>
      </c>
      <c r="GW70" t="e">
        <f>AND(#REF!,"AAAAAEvNL8w=")</f>
        <v>#REF!</v>
      </c>
      <c r="GX70" t="e">
        <f>AND(#REF!,"AAAAAEvNL80=")</f>
        <v>#REF!</v>
      </c>
      <c r="GY70" t="e">
        <f>AND(#REF!,"AAAAAEvNL84=")</f>
        <v>#REF!</v>
      </c>
      <c r="GZ70" t="e">
        <f>AND(#REF!,"AAAAAEvNL88=")</f>
        <v>#REF!</v>
      </c>
      <c r="HA70" t="e">
        <f>AND(#REF!,"AAAAAEvNL9A=")</f>
        <v>#REF!</v>
      </c>
      <c r="HB70" t="e">
        <f>AND(#REF!,"AAAAAEvNL9E=")</f>
        <v>#REF!</v>
      </c>
      <c r="HC70" t="e">
        <f>AND(#REF!,"AAAAAEvNL9I=")</f>
        <v>#REF!</v>
      </c>
      <c r="HD70" t="e">
        <f>AND(#REF!,"AAAAAEvNL9M=")</f>
        <v>#REF!</v>
      </c>
      <c r="HE70" t="e">
        <f>AND(#REF!,"AAAAAEvNL9Q=")</f>
        <v>#REF!</v>
      </c>
      <c r="HF70" t="e">
        <f>AND(#REF!,"AAAAAEvNL9U=")</f>
        <v>#REF!</v>
      </c>
      <c r="HG70" t="e">
        <f>AND(#REF!,"AAAAAEvNL9Y=")</f>
        <v>#REF!</v>
      </c>
      <c r="HH70" t="e">
        <f>AND(#REF!,"AAAAAEvNL9c=")</f>
        <v>#REF!</v>
      </c>
      <c r="HI70" t="e">
        <f>IF(#REF!,"AAAAAEvNL9g=",0)</f>
        <v>#REF!</v>
      </c>
      <c r="HJ70" t="e">
        <f>AND(#REF!,"AAAAAEvNL9k=")</f>
        <v>#REF!</v>
      </c>
      <c r="HK70" t="e">
        <f>AND(#REF!,"AAAAAEvNL9o=")</f>
        <v>#REF!</v>
      </c>
      <c r="HL70" t="e">
        <f>AND(#REF!,"AAAAAEvNL9s=")</f>
        <v>#REF!</v>
      </c>
      <c r="HM70" t="e">
        <f>AND(#REF!,"AAAAAEvNL9w=")</f>
        <v>#REF!</v>
      </c>
      <c r="HN70" t="e">
        <f>AND(#REF!,"AAAAAEvNL90=")</f>
        <v>#REF!</v>
      </c>
      <c r="HO70" t="e">
        <f>AND(#REF!,"AAAAAEvNL94=")</f>
        <v>#REF!</v>
      </c>
      <c r="HP70" t="e">
        <f>AND(#REF!,"AAAAAEvNL98=")</f>
        <v>#REF!</v>
      </c>
      <c r="HQ70" t="e">
        <f>AND(#REF!,"AAAAAEvNL+A=")</f>
        <v>#REF!</v>
      </c>
      <c r="HR70" t="e">
        <f>AND(#REF!,"AAAAAEvNL+E=")</f>
        <v>#REF!</v>
      </c>
      <c r="HS70" t="e">
        <f>AND(#REF!,"AAAAAEvNL+I=")</f>
        <v>#REF!</v>
      </c>
      <c r="HT70" t="e">
        <f>AND(#REF!,"AAAAAEvNL+M=")</f>
        <v>#REF!</v>
      </c>
      <c r="HU70" t="e">
        <f>AND(#REF!,"AAAAAEvNL+Q=")</f>
        <v>#REF!</v>
      </c>
      <c r="HV70" t="e">
        <f>AND(#REF!,"AAAAAEvNL+U=")</f>
        <v>#REF!</v>
      </c>
      <c r="HW70" t="e">
        <f>AND(#REF!,"AAAAAEvNL+Y=")</f>
        <v>#REF!</v>
      </c>
      <c r="HX70" t="e">
        <f>AND(#REF!,"AAAAAEvNL+c=")</f>
        <v>#REF!</v>
      </c>
      <c r="HY70" t="e">
        <f>AND(#REF!,"AAAAAEvNL+g=")</f>
        <v>#REF!</v>
      </c>
      <c r="HZ70" t="e">
        <f>IF(#REF!,"AAAAAEvNL+k=",0)</f>
        <v>#REF!</v>
      </c>
      <c r="IA70" t="e">
        <f>AND(#REF!,"AAAAAEvNL+o=")</f>
        <v>#REF!</v>
      </c>
      <c r="IB70" t="e">
        <f>AND(#REF!,"AAAAAEvNL+s=")</f>
        <v>#REF!</v>
      </c>
      <c r="IC70" t="e">
        <f>AND(#REF!,"AAAAAEvNL+w=")</f>
        <v>#REF!</v>
      </c>
      <c r="ID70" t="e">
        <f>AND(#REF!,"AAAAAEvNL+0=")</f>
        <v>#REF!</v>
      </c>
      <c r="IE70" t="e">
        <f>AND(#REF!,"AAAAAEvNL+4=")</f>
        <v>#REF!</v>
      </c>
      <c r="IF70" t="e">
        <f>AND(#REF!,"AAAAAEvNL+8=")</f>
        <v>#REF!</v>
      </c>
      <c r="IG70" t="e">
        <f>AND(#REF!,"AAAAAEvNL/A=")</f>
        <v>#REF!</v>
      </c>
      <c r="IH70" t="e">
        <f>AND(#REF!,"AAAAAEvNL/E=")</f>
        <v>#REF!</v>
      </c>
      <c r="II70" t="e">
        <f>AND(#REF!,"AAAAAEvNL/I=")</f>
        <v>#REF!</v>
      </c>
      <c r="IJ70" t="e">
        <f>AND(#REF!,"AAAAAEvNL/M=")</f>
        <v>#REF!</v>
      </c>
      <c r="IK70" t="e">
        <f>AND(#REF!,"AAAAAEvNL/Q=")</f>
        <v>#REF!</v>
      </c>
      <c r="IL70" t="e">
        <f>AND(#REF!,"AAAAAEvNL/U=")</f>
        <v>#REF!</v>
      </c>
      <c r="IM70" t="e">
        <f>AND(#REF!,"AAAAAEvNL/Y=")</f>
        <v>#REF!</v>
      </c>
      <c r="IN70" t="e">
        <f>AND(#REF!,"AAAAAEvNL/c=")</f>
        <v>#REF!</v>
      </c>
      <c r="IO70" t="e">
        <f>AND(#REF!,"AAAAAEvNL/g=")</f>
        <v>#REF!</v>
      </c>
      <c r="IP70" t="e">
        <f>AND(#REF!,"AAAAAEvNL/k=")</f>
        <v>#REF!</v>
      </c>
      <c r="IQ70" t="e">
        <f>IF(#REF!,"AAAAAEvNL/o=",0)</f>
        <v>#REF!</v>
      </c>
      <c r="IR70" t="e">
        <f>AND(#REF!,"AAAAAEvNL/s=")</f>
        <v>#REF!</v>
      </c>
      <c r="IS70" t="e">
        <f>AND(#REF!,"AAAAAEvNL/w=")</f>
        <v>#REF!</v>
      </c>
      <c r="IT70" t="e">
        <f>AND(#REF!,"AAAAAEvNL/0=")</f>
        <v>#REF!</v>
      </c>
      <c r="IU70" t="e">
        <f>AND(#REF!,"AAAAAEvNL/4=")</f>
        <v>#REF!</v>
      </c>
      <c r="IV70" t="e">
        <f>AND(#REF!,"AAAAAEvNL/8=")</f>
        <v>#REF!</v>
      </c>
    </row>
    <row r="71" spans="1:256" x14ac:dyDescent="0.25">
      <c r="A71" t="e">
        <f>AND(#REF!,"AAAAAFv9vwA=")</f>
        <v>#REF!</v>
      </c>
      <c r="B71" t="e">
        <f>AND(#REF!,"AAAAAFv9vwE=")</f>
        <v>#REF!</v>
      </c>
      <c r="C71" t="e">
        <f>AND(#REF!,"AAAAAFv9vwI=")</f>
        <v>#REF!</v>
      </c>
      <c r="D71" t="e">
        <f>AND(#REF!,"AAAAAFv9vwM=")</f>
        <v>#REF!</v>
      </c>
      <c r="E71" t="e">
        <f>AND(#REF!,"AAAAAFv9vwQ=")</f>
        <v>#REF!</v>
      </c>
      <c r="F71" t="e">
        <f>AND(#REF!,"AAAAAFv9vwU=")</f>
        <v>#REF!</v>
      </c>
      <c r="G71" t="e">
        <f>AND(#REF!,"AAAAAFv9vwY=")</f>
        <v>#REF!</v>
      </c>
      <c r="H71" t="e">
        <f>AND(#REF!,"AAAAAFv9vwc=")</f>
        <v>#REF!</v>
      </c>
      <c r="I71" t="e">
        <f>AND(#REF!,"AAAAAFv9vwg=")</f>
        <v>#REF!</v>
      </c>
      <c r="J71" t="e">
        <f>AND(#REF!,"AAAAAFv9vwk=")</f>
        <v>#REF!</v>
      </c>
      <c r="K71" t="e">
        <f>AND(#REF!,"AAAAAFv9vwo=")</f>
        <v>#REF!</v>
      </c>
      <c r="L71" t="e">
        <f>IF(#REF!,"AAAAAFv9vws=",0)</f>
        <v>#REF!</v>
      </c>
      <c r="M71" t="e">
        <f>AND(#REF!,"AAAAAFv9vww=")</f>
        <v>#REF!</v>
      </c>
      <c r="N71" t="e">
        <f>AND(#REF!,"AAAAAFv9vw0=")</f>
        <v>#REF!</v>
      </c>
      <c r="O71" t="e">
        <f>AND(#REF!,"AAAAAFv9vw4=")</f>
        <v>#REF!</v>
      </c>
      <c r="P71" t="e">
        <f>AND(#REF!,"AAAAAFv9vw8=")</f>
        <v>#REF!</v>
      </c>
      <c r="Q71" t="e">
        <f>AND(#REF!,"AAAAAFv9vxA=")</f>
        <v>#REF!</v>
      </c>
      <c r="R71" t="e">
        <f>AND(#REF!,"AAAAAFv9vxE=")</f>
        <v>#REF!</v>
      </c>
      <c r="S71" t="e">
        <f>AND(#REF!,"AAAAAFv9vxI=")</f>
        <v>#REF!</v>
      </c>
      <c r="T71" t="e">
        <f>AND(#REF!,"AAAAAFv9vxM=")</f>
        <v>#REF!</v>
      </c>
      <c r="U71" t="e">
        <f>AND(#REF!,"AAAAAFv9vxQ=")</f>
        <v>#REF!</v>
      </c>
      <c r="V71" t="e">
        <f>AND(#REF!,"AAAAAFv9vxU=")</f>
        <v>#REF!</v>
      </c>
      <c r="W71" t="e">
        <f>AND(#REF!,"AAAAAFv9vxY=")</f>
        <v>#REF!</v>
      </c>
      <c r="X71" t="e">
        <f>AND(#REF!,"AAAAAFv9vxc=")</f>
        <v>#REF!</v>
      </c>
      <c r="Y71" t="e">
        <f>AND(#REF!,"AAAAAFv9vxg=")</f>
        <v>#REF!</v>
      </c>
      <c r="Z71" t="e">
        <f>AND(#REF!,"AAAAAFv9vxk=")</f>
        <v>#REF!</v>
      </c>
      <c r="AA71" t="e">
        <f>AND(#REF!,"AAAAAFv9vxo=")</f>
        <v>#REF!</v>
      </c>
      <c r="AB71" t="e">
        <f>AND(#REF!,"AAAAAFv9vxs=")</f>
        <v>#REF!</v>
      </c>
      <c r="AC71" t="e">
        <f>IF(#REF!,"AAAAAFv9vxw=",0)</f>
        <v>#REF!</v>
      </c>
      <c r="AD71" t="e">
        <f>AND(#REF!,"AAAAAFv9vx0=")</f>
        <v>#REF!</v>
      </c>
      <c r="AE71" t="e">
        <f>AND(#REF!,"AAAAAFv9vx4=")</f>
        <v>#REF!</v>
      </c>
      <c r="AF71" t="e">
        <f>AND(#REF!,"AAAAAFv9vx8=")</f>
        <v>#REF!</v>
      </c>
      <c r="AG71" t="e">
        <f>AND(#REF!,"AAAAAFv9vyA=")</f>
        <v>#REF!</v>
      </c>
      <c r="AH71" t="e">
        <f>AND(#REF!,"AAAAAFv9vyE=")</f>
        <v>#REF!</v>
      </c>
      <c r="AI71" t="e">
        <f>AND(#REF!,"AAAAAFv9vyI=")</f>
        <v>#REF!</v>
      </c>
      <c r="AJ71" t="e">
        <f>AND(#REF!,"AAAAAFv9vyM=")</f>
        <v>#REF!</v>
      </c>
      <c r="AK71" t="e">
        <f>AND(#REF!,"AAAAAFv9vyQ=")</f>
        <v>#REF!</v>
      </c>
      <c r="AL71" t="e">
        <f>AND(#REF!,"AAAAAFv9vyU=")</f>
        <v>#REF!</v>
      </c>
      <c r="AM71" t="e">
        <f>AND(#REF!,"AAAAAFv9vyY=")</f>
        <v>#REF!</v>
      </c>
      <c r="AN71" t="e">
        <f>AND(#REF!,"AAAAAFv9vyc=")</f>
        <v>#REF!</v>
      </c>
      <c r="AO71" t="e">
        <f>AND(#REF!,"AAAAAFv9vyg=")</f>
        <v>#REF!</v>
      </c>
      <c r="AP71" t="e">
        <f>AND(#REF!,"AAAAAFv9vyk=")</f>
        <v>#REF!</v>
      </c>
      <c r="AQ71" t="e">
        <f>AND(#REF!,"AAAAAFv9vyo=")</f>
        <v>#REF!</v>
      </c>
      <c r="AR71" t="e">
        <f>AND(#REF!,"AAAAAFv9vys=")</f>
        <v>#REF!</v>
      </c>
      <c r="AS71" t="e">
        <f>AND(#REF!,"AAAAAFv9vyw=")</f>
        <v>#REF!</v>
      </c>
      <c r="AT71" t="e">
        <f>IF(#REF!,"AAAAAFv9vy0=",0)</f>
        <v>#REF!</v>
      </c>
      <c r="AU71" t="e">
        <f>AND(#REF!,"AAAAAFv9vy4=")</f>
        <v>#REF!</v>
      </c>
      <c r="AV71" t="e">
        <f>AND(#REF!,"AAAAAFv9vy8=")</f>
        <v>#REF!</v>
      </c>
      <c r="AW71" t="e">
        <f>AND(#REF!,"AAAAAFv9vzA=")</f>
        <v>#REF!</v>
      </c>
      <c r="AX71" t="e">
        <f>AND(#REF!,"AAAAAFv9vzE=")</f>
        <v>#REF!</v>
      </c>
      <c r="AY71" t="e">
        <f>AND(#REF!,"AAAAAFv9vzI=")</f>
        <v>#REF!</v>
      </c>
      <c r="AZ71" t="e">
        <f>AND(#REF!,"AAAAAFv9vzM=")</f>
        <v>#REF!</v>
      </c>
      <c r="BA71" t="e">
        <f>AND(#REF!,"AAAAAFv9vzQ=")</f>
        <v>#REF!</v>
      </c>
      <c r="BB71" t="e">
        <f>AND(#REF!,"AAAAAFv9vzU=")</f>
        <v>#REF!</v>
      </c>
      <c r="BC71" t="e">
        <f>AND(#REF!,"AAAAAFv9vzY=")</f>
        <v>#REF!</v>
      </c>
      <c r="BD71" t="e">
        <f>AND(#REF!,"AAAAAFv9vzc=")</f>
        <v>#REF!</v>
      </c>
      <c r="BE71" t="e">
        <f>AND(#REF!,"AAAAAFv9vzg=")</f>
        <v>#REF!</v>
      </c>
      <c r="BF71" t="e">
        <f>AND(#REF!,"AAAAAFv9vzk=")</f>
        <v>#REF!</v>
      </c>
      <c r="BG71" t="e">
        <f>AND(#REF!,"AAAAAFv9vzo=")</f>
        <v>#REF!</v>
      </c>
      <c r="BH71" t="e">
        <f>AND(#REF!,"AAAAAFv9vzs=")</f>
        <v>#REF!</v>
      </c>
      <c r="BI71" t="e">
        <f>AND(#REF!,"AAAAAFv9vzw=")</f>
        <v>#REF!</v>
      </c>
      <c r="BJ71" t="e">
        <f>AND(#REF!,"AAAAAFv9vz0=")</f>
        <v>#REF!</v>
      </c>
      <c r="BK71" t="e">
        <f>IF(#REF!,"AAAAAFv9vz4=",0)</f>
        <v>#REF!</v>
      </c>
      <c r="BL71" t="e">
        <f>AND(#REF!,"AAAAAFv9vz8=")</f>
        <v>#REF!</v>
      </c>
      <c r="BM71" t="e">
        <f>AND(#REF!,"AAAAAFv9v0A=")</f>
        <v>#REF!</v>
      </c>
      <c r="BN71" t="e">
        <f>AND(#REF!,"AAAAAFv9v0E=")</f>
        <v>#REF!</v>
      </c>
      <c r="BO71" t="e">
        <f>AND(#REF!,"AAAAAFv9v0I=")</f>
        <v>#REF!</v>
      </c>
      <c r="BP71" t="e">
        <f>AND(#REF!,"AAAAAFv9v0M=")</f>
        <v>#REF!</v>
      </c>
      <c r="BQ71" t="e">
        <f>AND(#REF!,"AAAAAFv9v0Q=")</f>
        <v>#REF!</v>
      </c>
      <c r="BR71" t="e">
        <f>AND(#REF!,"AAAAAFv9v0U=")</f>
        <v>#REF!</v>
      </c>
      <c r="BS71" t="e">
        <f>AND(#REF!,"AAAAAFv9v0Y=")</f>
        <v>#REF!</v>
      </c>
      <c r="BT71" t="e">
        <f>AND(#REF!,"AAAAAFv9v0c=")</f>
        <v>#REF!</v>
      </c>
      <c r="BU71" t="e">
        <f>AND(#REF!,"AAAAAFv9v0g=")</f>
        <v>#REF!</v>
      </c>
      <c r="BV71" t="e">
        <f>AND(#REF!,"AAAAAFv9v0k=")</f>
        <v>#REF!</v>
      </c>
      <c r="BW71" t="e">
        <f>AND(#REF!,"AAAAAFv9v0o=")</f>
        <v>#REF!</v>
      </c>
      <c r="BX71" t="e">
        <f>AND(#REF!,"AAAAAFv9v0s=")</f>
        <v>#REF!</v>
      </c>
      <c r="BY71" t="e">
        <f>AND(#REF!,"AAAAAFv9v0w=")</f>
        <v>#REF!</v>
      </c>
      <c r="BZ71" t="e">
        <f>AND(#REF!,"AAAAAFv9v00=")</f>
        <v>#REF!</v>
      </c>
      <c r="CA71" t="e">
        <f>AND(#REF!,"AAAAAFv9v04=")</f>
        <v>#REF!</v>
      </c>
      <c r="CB71" t="e">
        <f>IF(#REF!,"AAAAAFv9v08=",0)</f>
        <v>#REF!</v>
      </c>
      <c r="CC71" t="e">
        <f>AND(#REF!,"AAAAAFv9v1A=")</f>
        <v>#REF!</v>
      </c>
      <c r="CD71" t="e">
        <f>AND(#REF!,"AAAAAFv9v1E=")</f>
        <v>#REF!</v>
      </c>
      <c r="CE71" t="e">
        <f>AND(#REF!,"AAAAAFv9v1I=")</f>
        <v>#REF!</v>
      </c>
      <c r="CF71" t="e">
        <f>AND(#REF!,"AAAAAFv9v1M=")</f>
        <v>#REF!</v>
      </c>
      <c r="CG71" t="e">
        <f>AND(#REF!,"AAAAAFv9v1Q=")</f>
        <v>#REF!</v>
      </c>
      <c r="CH71" t="e">
        <f>AND(#REF!,"AAAAAFv9v1U=")</f>
        <v>#REF!</v>
      </c>
      <c r="CI71" t="e">
        <f>AND(#REF!,"AAAAAFv9v1Y=")</f>
        <v>#REF!</v>
      </c>
      <c r="CJ71" t="e">
        <f>AND(#REF!,"AAAAAFv9v1c=")</f>
        <v>#REF!</v>
      </c>
      <c r="CK71" t="e">
        <f>AND(#REF!,"AAAAAFv9v1g=")</f>
        <v>#REF!</v>
      </c>
      <c r="CL71" t="e">
        <f>AND(#REF!,"AAAAAFv9v1k=")</f>
        <v>#REF!</v>
      </c>
      <c r="CM71" t="e">
        <f>AND(#REF!,"AAAAAFv9v1o=")</f>
        <v>#REF!</v>
      </c>
      <c r="CN71" t="e">
        <f>AND(#REF!,"AAAAAFv9v1s=")</f>
        <v>#REF!</v>
      </c>
      <c r="CO71" t="e">
        <f>AND(#REF!,"AAAAAFv9v1w=")</f>
        <v>#REF!</v>
      </c>
      <c r="CP71" t="e">
        <f>AND(#REF!,"AAAAAFv9v10=")</f>
        <v>#REF!</v>
      </c>
      <c r="CQ71" t="e">
        <f>AND(#REF!,"AAAAAFv9v14=")</f>
        <v>#REF!</v>
      </c>
      <c r="CR71" t="e">
        <f>AND(#REF!,"AAAAAFv9v18=")</f>
        <v>#REF!</v>
      </c>
      <c r="CS71" t="e">
        <f>IF(#REF!,"AAAAAFv9v2A=",0)</f>
        <v>#REF!</v>
      </c>
      <c r="CT71" t="e">
        <f>AND(#REF!,"AAAAAFv9v2E=")</f>
        <v>#REF!</v>
      </c>
      <c r="CU71" t="e">
        <f>AND(#REF!,"AAAAAFv9v2I=")</f>
        <v>#REF!</v>
      </c>
      <c r="CV71" t="e">
        <f>AND(#REF!,"AAAAAFv9v2M=")</f>
        <v>#REF!</v>
      </c>
      <c r="CW71" t="e">
        <f>AND(#REF!,"AAAAAFv9v2Q=")</f>
        <v>#REF!</v>
      </c>
      <c r="CX71" t="e">
        <f>AND(#REF!,"AAAAAFv9v2U=")</f>
        <v>#REF!</v>
      </c>
      <c r="CY71" t="e">
        <f>AND(#REF!,"AAAAAFv9v2Y=")</f>
        <v>#REF!</v>
      </c>
      <c r="CZ71" t="e">
        <f>AND(#REF!,"AAAAAFv9v2c=")</f>
        <v>#REF!</v>
      </c>
      <c r="DA71" t="e">
        <f>AND(#REF!,"AAAAAFv9v2g=")</f>
        <v>#REF!</v>
      </c>
      <c r="DB71" t="e">
        <f>AND(#REF!,"AAAAAFv9v2k=")</f>
        <v>#REF!</v>
      </c>
      <c r="DC71" t="e">
        <f>AND(#REF!,"AAAAAFv9v2o=")</f>
        <v>#REF!</v>
      </c>
      <c r="DD71" t="e">
        <f>AND(#REF!,"AAAAAFv9v2s=")</f>
        <v>#REF!</v>
      </c>
      <c r="DE71" t="e">
        <f>AND(#REF!,"AAAAAFv9v2w=")</f>
        <v>#REF!</v>
      </c>
      <c r="DF71" t="e">
        <f>AND(#REF!,"AAAAAFv9v20=")</f>
        <v>#REF!</v>
      </c>
      <c r="DG71" t="e">
        <f>AND(#REF!,"AAAAAFv9v24=")</f>
        <v>#REF!</v>
      </c>
      <c r="DH71" t="e">
        <f>AND(#REF!,"AAAAAFv9v28=")</f>
        <v>#REF!</v>
      </c>
      <c r="DI71" t="e">
        <f>AND(#REF!,"AAAAAFv9v3A=")</f>
        <v>#REF!</v>
      </c>
      <c r="DJ71" t="e">
        <f>IF(#REF!,"AAAAAFv9v3E=",0)</f>
        <v>#REF!</v>
      </c>
      <c r="DK71" t="e">
        <f>AND(#REF!,"AAAAAFv9v3I=")</f>
        <v>#REF!</v>
      </c>
      <c r="DL71" t="e">
        <f>AND(#REF!,"AAAAAFv9v3M=")</f>
        <v>#REF!</v>
      </c>
      <c r="DM71" t="e">
        <f>AND(#REF!,"AAAAAFv9v3Q=")</f>
        <v>#REF!</v>
      </c>
      <c r="DN71" t="e">
        <f>AND(#REF!,"AAAAAFv9v3U=")</f>
        <v>#REF!</v>
      </c>
      <c r="DO71" t="e">
        <f>AND(#REF!,"AAAAAFv9v3Y=")</f>
        <v>#REF!</v>
      </c>
      <c r="DP71" t="e">
        <f>AND(#REF!,"AAAAAFv9v3c=")</f>
        <v>#REF!</v>
      </c>
      <c r="DQ71" t="e">
        <f>AND(#REF!,"AAAAAFv9v3g=")</f>
        <v>#REF!</v>
      </c>
      <c r="DR71" t="e">
        <f>AND(#REF!,"AAAAAFv9v3k=")</f>
        <v>#REF!</v>
      </c>
      <c r="DS71" t="e">
        <f>AND(#REF!,"AAAAAFv9v3o=")</f>
        <v>#REF!</v>
      </c>
      <c r="DT71" t="e">
        <f>AND(#REF!,"AAAAAFv9v3s=")</f>
        <v>#REF!</v>
      </c>
      <c r="DU71" t="e">
        <f>AND(#REF!,"AAAAAFv9v3w=")</f>
        <v>#REF!</v>
      </c>
      <c r="DV71" t="e">
        <f>AND(#REF!,"AAAAAFv9v30=")</f>
        <v>#REF!</v>
      </c>
      <c r="DW71" t="e">
        <f>AND(#REF!,"AAAAAFv9v34=")</f>
        <v>#REF!</v>
      </c>
      <c r="DX71" t="e">
        <f>AND(#REF!,"AAAAAFv9v38=")</f>
        <v>#REF!</v>
      </c>
      <c r="DY71" t="e">
        <f>AND(#REF!,"AAAAAFv9v4A=")</f>
        <v>#REF!</v>
      </c>
      <c r="DZ71" t="e">
        <f>AND(#REF!,"AAAAAFv9v4E=")</f>
        <v>#REF!</v>
      </c>
      <c r="EA71" t="e">
        <f>IF(#REF!,"AAAAAFv9v4I=",0)</f>
        <v>#REF!</v>
      </c>
      <c r="EB71" t="e">
        <f>AND(#REF!,"AAAAAFv9v4M=")</f>
        <v>#REF!</v>
      </c>
      <c r="EC71" t="e">
        <f>AND(#REF!,"AAAAAFv9v4Q=")</f>
        <v>#REF!</v>
      </c>
      <c r="ED71" t="e">
        <f>AND(#REF!,"AAAAAFv9v4U=")</f>
        <v>#REF!</v>
      </c>
      <c r="EE71" t="e">
        <f>AND(#REF!,"AAAAAFv9v4Y=")</f>
        <v>#REF!</v>
      </c>
      <c r="EF71" t="e">
        <f>AND(#REF!,"AAAAAFv9v4c=")</f>
        <v>#REF!</v>
      </c>
      <c r="EG71" t="e">
        <f>AND(#REF!,"AAAAAFv9v4g=")</f>
        <v>#REF!</v>
      </c>
      <c r="EH71" t="e">
        <f>AND(#REF!,"AAAAAFv9v4k=")</f>
        <v>#REF!</v>
      </c>
      <c r="EI71" t="e">
        <f>AND(#REF!,"AAAAAFv9v4o=")</f>
        <v>#REF!</v>
      </c>
      <c r="EJ71" t="e">
        <f>AND(#REF!,"AAAAAFv9v4s=")</f>
        <v>#REF!</v>
      </c>
      <c r="EK71" t="e">
        <f>AND(#REF!,"AAAAAFv9v4w=")</f>
        <v>#REF!</v>
      </c>
      <c r="EL71" t="e">
        <f>AND(#REF!,"AAAAAFv9v40=")</f>
        <v>#REF!</v>
      </c>
      <c r="EM71" t="e">
        <f>AND(#REF!,"AAAAAFv9v44=")</f>
        <v>#REF!</v>
      </c>
      <c r="EN71" t="e">
        <f>AND(#REF!,"AAAAAFv9v48=")</f>
        <v>#REF!</v>
      </c>
      <c r="EO71" t="e">
        <f>AND(#REF!,"AAAAAFv9v5A=")</f>
        <v>#REF!</v>
      </c>
      <c r="EP71" t="e">
        <f>AND(#REF!,"AAAAAFv9v5E=")</f>
        <v>#REF!</v>
      </c>
      <c r="EQ71" t="e">
        <f>AND(#REF!,"AAAAAFv9v5I=")</f>
        <v>#REF!</v>
      </c>
      <c r="ER71" t="e">
        <f>IF(#REF!,"AAAAAFv9v5M=",0)</f>
        <v>#REF!</v>
      </c>
      <c r="ES71" t="e">
        <f>AND(#REF!,"AAAAAFv9v5Q=")</f>
        <v>#REF!</v>
      </c>
      <c r="ET71" t="e">
        <f>AND(#REF!,"AAAAAFv9v5U=")</f>
        <v>#REF!</v>
      </c>
      <c r="EU71" t="e">
        <f>AND(#REF!,"AAAAAFv9v5Y=")</f>
        <v>#REF!</v>
      </c>
      <c r="EV71" t="e">
        <f>AND(#REF!,"AAAAAFv9v5c=")</f>
        <v>#REF!</v>
      </c>
      <c r="EW71" t="e">
        <f>AND(#REF!,"AAAAAFv9v5g=")</f>
        <v>#REF!</v>
      </c>
      <c r="EX71" t="e">
        <f>AND(#REF!,"AAAAAFv9v5k=")</f>
        <v>#REF!</v>
      </c>
      <c r="EY71" t="e">
        <f>AND(#REF!,"AAAAAFv9v5o=")</f>
        <v>#REF!</v>
      </c>
      <c r="EZ71" t="e">
        <f>AND(#REF!,"AAAAAFv9v5s=")</f>
        <v>#REF!</v>
      </c>
      <c r="FA71" t="e">
        <f>AND(#REF!,"AAAAAFv9v5w=")</f>
        <v>#REF!</v>
      </c>
      <c r="FB71" t="e">
        <f>AND(#REF!,"AAAAAFv9v50=")</f>
        <v>#REF!</v>
      </c>
      <c r="FC71" t="e">
        <f>AND(#REF!,"AAAAAFv9v54=")</f>
        <v>#REF!</v>
      </c>
      <c r="FD71" t="e">
        <f>AND(#REF!,"AAAAAFv9v58=")</f>
        <v>#REF!</v>
      </c>
      <c r="FE71" t="e">
        <f>AND(#REF!,"AAAAAFv9v6A=")</f>
        <v>#REF!</v>
      </c>
      <c r="FF71" t="e">
        <f>AND(#REF!,"AAAAAFv9v6E=")</f>
        <v>#REF!</v>
      </c>
      <c r="FG71" t="e">
        <f>AND(#REF!,"AAAAAFv9v6I=")</f>
        <v>#REF!</v>
      </c>
      <c r="FH71" t="e">
        <f>AND(#REF!,"AAAAAFv9v6M=")</f>
        <v>#REF!</v>
      </c>
      <c r="FI71" t="e">
        <f>IF(#REF!,"AAAAAFv9v6Q=",0)</f>
        <v>#REF!</v>
      </c>
      <c r="FJ71" t="e">
        <f>AND(#REF!,"AAAAAFv9v6U=")</f>
        <v>#REF!</v>
      </c>
      <c r="FK71" t="e">
        <f>AND(#REF!,"AAAAAFv9v6Y=")</f>
        <v>#REF!</v>
      </c>
      <c r="FL71" t="e">
        <f>AND(#REF!,"AAAAAFv9v6c=")</f>
        <v>#REF!</v>
      </c>
      <c r="FM71" t="e">
        <f>AND(#REF!,"AAAAAFv9v6g=")</f>
        <v>#REF!</v>
      </c>
      <c r="FN71" t="e">
        <f>AND(#REF!,"AAAAAFv9v6k=")</f>
        <v>#REF!</v>
      </c>
      <c r="FO71" t="e">
        <f>AND(#REF!,"AAAAAFv9v6o=")</f>
        <v>#REF!</v>
      </c>
      <c r="FP71" t="e">
        <f>AND(#REF!,"AAAAAFv9v6s=")</f>
        <v>#REF!</v>
      </c>
      <c r="FQ71" t="e">
        <f>AND(#REF!,"AAAAAFv9v6w=")</f>
        <v>#REF!</v>
      </c>
      <c r="FR71" t="e">
        <f>AND(#REF!,"AAAAAFv9v60=")</f>
        <v>#REF!</v>
      </c>
      <c r="FS71" t="e">
        <f>AND(#REF!,"AAAAAFv9v64=")</f>
        <v>#REF!</v>
      </c>
      <c r="FT71" t="e">
        <f>AND(#REF!,"AAAAAFv9v68=")</f>
        <v>#REF!</v>
      </c>
      <c r="FU71" t="e">
        <f>AND(#REF!,"AAAAAFv9v7A=")</f>
        <v>#REF!</v>
      </c>
      <c r="FV71" t="e">
        <f>AND(#REF!,"AAAAAFv9v7E=")</f>
        <v>#REF!</v>
      </c>
      <c r="FW71" t="e">
        <f>AND(#REF!,"AAAAAFv9v7I=")</f>
        <v>#REF!</v>
      </c>
      <c r="FX71" t="e">
        <f>AND(#REF!,"AAAAAFv9v7M=")</f>
        <v>#REF!</v>
      </c>
      <c r="FY71" t="e">
        <f>AND(#REF!,"AAAAAFv9v7Q=")</f>
        <v>#REF!</v>
      </c>
      <c r="FZ71" t="e">
        <f>IF(#REF!,"AAAAAFv9v7U=",0)</f>
        <v>#REF!</v>
      </c>
      <c r="GA71" t="e">
        <f>AND(#REF!,"AAAAAFv9v7Y=")</f>
        <v>#REF!</v>
      </c>
      <c r="GB71" t="e">
        <f>AND(#REF!,"AAAAAFv9v7c=")</f>
        <v>#REF!</v>
      </c>
      <c r="GC71" t="e">
        <f>AND(#REF!,"AAAAAFv9v7g=")</f>
        <v>#REF!</v>
      </c>
      <c r="GD71" t="e">
        <f>AND(#REF!,"AAAAAFv9v7k=")</f>
        <v>#REF!</v>
      </c>
      <c r="GE71" t="e">
        <f>AND(#REF!,"AAAAAFv9v7o=")</f>
        <v>#REF!</v>
      </c>
      <c r="GF71" t="e">
        <f>AND(#REF!,"AAAAAFv9v7s=")</f>
        <v>#REF!</v>
      </c>
      <c r="GG71" t="e">
        <f>AND(#REF!,"AAAAAFv9v7w=")</f>
        <v>#REF!</v>
      </c>
      <c r="GH71" t="e">
        <f>AND(#REF!,"AAAAAFv9v70=")</f>
        <v>#REF!</v>
      </c>
      <c r="GI71" t="e">
        <f>AND(#REF!,"AAAAAFv9v74=")</f>
        <v>#REF!</v>
      </c>
      <c r="GJ71" t="e">
        <f>AND(#REF!,"AAAAAFv9v78=")</f>
        <v>#REF!</v>
      </c>
      <c r="GK71" t="e">
        <f>AND(#REF!,"AAAAAFv9v8A=")</f>
        <v>#REF!</v>
      </c>
      <c r="GL71" t="e">
        <f>AND(#REF!,"AAAAAFv9v8E=")</f>
        <v>#REF!</v>
      </c>
      <c r="GM71" t="e">
        <f>AND(#REF!,"AAAAAFv9v8I=")</f>
        <v>#REF!</v>
      </c>
      <c r="GN71" t="e">
        <f>AND(#REF!,"AAAAAFv9v8M=")</f>
        <v>#REF!</v>
      </c>
      <c r="GO71" t="e">
        <f>AND(#REF!,"AAAAAFv9v8Q=")</f>
        <v>#REF!</v>
      </c>
      <c r="GP71" t="e">
        <f>AND(#REF!,"AAAAAFv9v8U=")</f>
        <v>#REF!</v>
      </c>
      <c r="GQ71" t="e">
        <f>IF(#REF!,"AAAAAFv9v8Y=",0)</f>
        <v>#REF!</v>
      </c>
      <c r="GR71" t="e">
        <f>AND(#REF!,"AAAAAFv9v8c=")</f>
        <v>#REF!</v>
      </c>
      <c r="GS71" t="e">
        <f>AND(#REF!,"AAAAAFv9v8g=")</f>
        <v>#REF!</v>
      </c>
      <c r="GT71" t="e">
        <f>AND(#REF!,"AAAAAFv9v8k=")</f>
        <v>#REF!</v>
      </c>
      <c r="GU71" t="e">
        <f>AND(#REF!,"AAAAAFv9v8o=")</f>
        <v>#REF!</v>
      </c>
      <c r="GV71" t="e">
        <f>AND(#REF!,"AAAAAFv9v8s=")</f>
        <v>#REF!</v>
      </c>
      <c r="GW71" t="e">
        <f>AND(#REF!,"AAAAAFv9v8w=")</f>
        <v>#REF!</v>
      </c>
      <c r="GX71" t="e">
        <f>AND(#REF!,"AAAAAFv9v80=")</f>
        <v>#REF!</v>
      </c>
      <c r="GY71" t="e">
        <f>AND(#REF!,"AAAAAFv9v84=")</f>
        <v>#REF!</v>
      </c>
      <c r="GZ71" t="e">
        <f>AND(#REF!,"AAAAAFv9v88=")</f>
        <v>#REF!</v>
      </c>
      <c r="HA71" t="e">
        <f>AND(#REF!,"AAAAAFv9v9A=")</f>
        <v>#REF!</v>
      </c>
      <c r="HB71" t="e">
        <f>AND(#REF!,"AAAAAFv9v9E=")</f>
        <v>#REF!</v>
      </c>
      <c r="HC71" t="e">
        <f>AND(#REF!,"AAAAAFv9v9I=")</f>
        <v>#REF!</v>
      </c>
      <c r="HD71" t="e">
        <f>AND(#REF!,"AAAAAFv9v9M=")</f>
        <v>#REF!</v>
      </c>
      <c r="HE71" t="e">
        <f>AND(#REF!,"AAAAAFv9v9Q=")</f>
        <v>#REF!</v>
      </c>
      <c r="HF71" t="e">
        <f>AND(#REF!,"AAAAAFv9v9U=")</f>
        <v>#REF!</v>
      </c>
      <c r="HG71" t="e">
        <f>AND(#REF!,"AAAAAFv9v9Y=")</f>
        <v>#REF!</v>
      </c>
      <c r="HH71" t="e">
        <f>IF(#REF!,"AAAAAFv9v9c=",0)</f>
        <v>#REF!</v>
      </c>
      <c r="HI71" t="e">
        <f>AND(#REF!,"AAAAAFv9v9g=")</f>
        <v>#REF!</v>
      </c>
      <c r="HJ71" t="e">
        <f>AND(#REF!,"AAAAAFv9v9k=")</f>
        <v>#REF!</v>
      </c>
      <c r="HK71" t="e">
        <f>AND(#REF!,"AAAAAFv9v9o=")</f>
        <v>#REF!</v>
      </c>
      <c r="HL71" t="e">
        <f>AND(#REF!,"AAAAAFv9v9s=")</f>
        <v>#REF!</v>
      </c>
      <c r="HM71" t="e">
        <f>AND(#REF!,"AAAAAFv9v9w=")</f>
        <v>#REF!</v>
      </c>
      <c r="HN71" t="e">
        <f>AND(#REF!,"AAAAAFv9v90=")</f>
        <v>#REF!</v>
      </c>
      <c r="HO71" t="e">
        <f>AND(#REF!,"AAAAAFv9v94=")</f>
        <v>#REF!</v>
      </c>
      <c r="HP71" t="e">
        <f>AND(#REF!,"AAAAAFv9v98=")</f>
        <v>#REF!</v>
      </c>
      <c r="HQ71" t="e">
        <f>AND(#REF!,"AAAAAFv9v+A=")</f>
        <v>#REF!</v>
      </c>
      <c r="HR71" t="e">
        <f>AND(#REF!,"AAAAAFv9v+E=")</f>
        <v>#REF!</v>
      </c>
      <c r="HS71" t="e">
        <f>AND(#REF!,"AAAAAFv9v+I=")</f>
        <v>#REF!</v>
      </c>
      <c r="HT71" t="e">
        <f>AND(#REF!,"AAAAAFv9v+M=")</f>
        <v>#REF!</v>
      </c>
      <c r="HU71" t="e">
        <f>AND(#REF!,"AAAAAFv9v+Q=")</f>
        <v>#REF!</v>
      </c>
      <c r="HV71" t="e">
        <f>AND(#REF!,"AAAAAFv9v+U=")</f>
        <v>#REF!</v>
      </c>
      <c r="HW71" t="e">
        <f>AND(#REF!,"AAAAAFv9v+Y=")</f>
        <v>#REF!</v>
      </c>
      <c r="HX71" t="e">
        <f>AND(#REF!,"AAAAAFv9v+c=")</f>
        <v>#REF!</v>
      </c>
      <c r="HY71" t="e">
        <f>IF(#REF!,"AAAAAFv9v+g=",0)</f>
        <v>#REF!</v>
      </c>
      <c r="HZ71" t="e">
        <f>AND(#REF!,"AAAAAFv9v+k=")</f>
        <v>#REF!</v>
      </c>
      <c r="IA71" t="e">
        <f>AND(#REF!,"AAAAAFv9v+o=")</f>
        <v>#REF!</v>
      </c>
      <c r="IB71" t="e">
        <f>AND(#REF!,"AAAAAFv9v+s=")</f>
        <v>#REF!</v>
      </c>
      <c r="IC71" t="e">
        <f>AND(#REF!,"AAAAAFv9v+w=")</f>
        <v>#REF!</v>
      </c>
      <c r="ID71" t="e">
        <f>AND(#REF!,"AAAAAFv9v+0=")</f>
        <v>#REF!</v>
      </c>
      <c r="IE71" t="e">
        <f>AND(#REF!,"AAAAAFv9v+4=")</f>
        <v>#REF!</v>
      </c>
      <c r="IF71" t="e">
        <f>AND(#REF!,"AAAAAFv9v+8=")</f>
        <v>#REF!</v>
      </c>
      <c r="IG71" t="e">
        <f>AND(#REF!,"AAAAAFv9v/A=")</f>
        <v>#REF!</v>
      </c>
      <c r="IH71" t="e">
        <f>AND(#REF!,"AAAAAFv9v/E=")</f>
        <v>#REF!</v>
      </c>
      <c r="II71" t="e">
        <f>AND(#REF!,"AAAAAFv9v/I=")</f>
        <v>#REF!</v>
      </c>
      <c r="IJ71" t="e">
        <f>AND(#REF!,"AAAAAFv9v/M=")</f>
        <v>#REF!</v>
      </c>
      <c r="IK71" t="e">
        <f>AND(#REF!,"AAAAAFv9v/Q=")</f>
        <v>#REF!</v>
      </c>
      <c r="IL71" t="e">
        <f>AND(#REF!,"AAAAAFv9v/U=")</f>
        <v>#REF!</v>
      </c>
      <c r="IM71" t="e">
        <f>AND(#REF!,"AAAAAFv9v/Y=")</f>
        <v>#REF!</v>
      </c>
      <c r="IN71" t="e">
        <f>AND(#REF!,"AAAAAFv9v/c=")</f>
        <v>#REF!</v>
      </c>
      <c r="IO71" t="e">
        <f>AND(#REF!,"AAAAAFv9v/g=")</f>
        <v>#REF!</v>
      </c>
      <c r="IP71" t="e">
        <f>IF(#REF!,"AAAAAFv9v/k=",0)</f>
        <v>#REF!</v>
      </c>
      <c r="IQ71" t="e">
        <f>AND(#REF!,"AAAAAFv9v/o=")</f>
        <v>#REF!</v>
      </c>
      <c r="IR71" t="e">
        <f>AND(#REF!,"AAAAAFv9v/s=")</f>
        <v>#REF!</v>
      </c>
      <c r="IS71" t="e">
        <f>AND(#REF!,"AAAAAFv9v/w=")</f>
        <v>#REF!</v>
      </c>
      <c r="IT71" t="e">
        <f>AND(#REF!,"AAAAAFv9v/0=")</f>
        <v>#REF!</v>
      </c>
      <c r="IU71" t="e">
        <f>AND(#REF!,"AAAAAFv9v/4=")</f>
        <v>#REF!</v>
      </c>
      <c r="IV71" t="e">
        <f>AND(#REF!,"AAAAAFv9v/8=")</f>
        <v>#REF!</v>
      </c>
    </row>
    <row r="72" spans="1:256" x14ac:dyDescent="0.25">
      <c r="A72" t="e">
        <f>AND(#REF!,"AAAAAEz3owA=")</f>
        <v>#REF!</v>
      </c>
      <c r="B72" t="e">
        <f>AND(#REF!,"AAAAAEz3owE=")</f>
        <v>#REF!</v>
      </c>
      <c r="C72" t="e">
        <f>AND(#REF!,"AAAAAEz3owI=")</f>
        <v>#REF!</v>
      </c>
      <c r="D72" t="e">
        <f>AND(#REF!,"AAAAAEz3owM=")</f>
        <v>#REF!</v>
      </c>
      <c r="E72" t="e">
        <f>AND(#REF!,"AAAAAEz3owQ=")</f>
        <v>#REF!</v>
      </c>
      <c r="F72" t="e">
        <f>AND(#REF!,"AAAAAEz3owU=")</f>
        <v>#REF!</v>
      </c>
      <c r="G72" t="e">
        <f>AND(#REF!,"AAAAAEz3owY=")</f>
        <v>#REF!</v>
      </c>
      <c r="H72" t="e">
        <f>AND(#REF!,"AAAAAEz3owc=")</f>
        <v>#REF!</v>
      </c>
      <c r="I72" t="e">
        <f>AND(#REF!,"AAAAAEz3owg=")</f>
        <v>#REF!</v>
      </c>
      <c r="J72" t="e">
        <f>AND(#REF!,"AAAAAEz3owk=")</f>
        <v>#REF!</v>
      </c>
      <c r="K72" t="e">
        <f>IF(#REF!,"AAAAAEz3owo=",0)</f>
        <v>#REF!</v>
      </c>
      <c r="L72" t="e">
        <f>AND(#REF!,"AAAAAEz3ows=")</f>
        <v>#REF!</v>
      </c>
      <c r="M72" t="e">
        <f>AND(#REF!,"AAAAAEz3oww=")</f>
        <v>#REF!</v>
      </c>
      <c r="N72" t="e">
        <f>AND(#REF!,"AAAAAEz3ow0=")</f>
        <v>#REF!</v>
      </c>
      <c r="O72" t="e">
        <f>AND(#REF!,"AAAAAEz3ow4=")</f>
        <v>#REF!</v>
      </c>
      <c r="P72" t="e">
        <f>AND(#REF!,"AAAAAEz3ow8=")</f>
        <v>#REF!</v>
      </c>
      <c r="Q72" t="e">
        <f>AND(#REF!,"AAAAAEz3oxA=")</f>
        <v>#REF!</v>
      </c>
      <c r="R72" t="e">
        <f>AND(#REF!,"AAAAAEz3oxE=")</f>
        <v>#REF!</v>
      </c>
      <c r="S72" t="e">
        <f>AND(#REF!,"AAAAAEz3oxI=")</f>
        <v>#REF!</v>
      </c>
      <c r="T72" t="e">
        <f>AND(#REF!,"AAAAAEz3oxM=")</f>
        <v>#REF!</v>
      </c>
      <c r="U72" t="e">
        <f>AND(#REF!,"AAAAAEz3oxQ=")</f>
        <v>#REF!</v>
      </c>
      <c r="V72" t="e">
        <f>AND(#REF!,"AAAAAEz3oxU=")</f>
        <v>#REF!</v>
      </c>
      <c r="W72" t="e">
        <f>AND(#REF!,"AAAAAEz3oxY=")</f>
        <v>#REF!</v>
      </c>
      <c r="X72" t="e">
        <f>AND(#REF!,"AAAAAEz3oxc=")</f>
        <v>#REF!</v>
      </c>
      <c r="Y72" t="e">
        <f>AND(#REF!,"AAAAAEz3oxg=")</f>
        <v>#REF!</v>
      </c>
      <c r="Z72" t="e">
        <f>AND(#REF!,"AAAAAEz3oxk=")</f>
        <v>#REF!</v>
      </c>
      <c r="AA72" t="e">
        <f>AND(#REF!,"AAAAAEz3oxo=")</f>
        <v>#REF!</v>
      </c>
      <c r="AB72" t="e">
        <f>IF(#REF!,"AAAAAEz3oxs=",0)</f>
        <v>#REF!</v>
      </c>
      <c r="AC72" t="e">
        <f>AND(#REF!,"AAAAAEz3oxw=")</f>
        <v>#REF!</v>
      </c>
      <c r="AD72" t="e">
        <f>AND(#REF!,"AAAAAEz3ox0=")</f>
        <v>#REF!</v>
      </c>
      <c r="AE72" t="e">
        <f>AND(#REF!,"AAAAAEz3ox4=")</f>
        <v>#REF!</v>
      </c>
      <c r="AF72" t="e">
        <f>AND(#REF!,"AAAAAEz3ox8=")</f>
        <v>#REF!</v>
      </c>
      <c r="AG72" t="e">
        <f>AND(#REF!,"AAAAAEz3oyA=")</f>
        <v>#REF!</v>
      </c>
      <c r="AH72" t="e">
        <f>AND(#REF!,"AAAAAEz3oyE=")</f>
        <v>#REF!</v>
      </c>
      <c r="AI72" t="e">
        <f>AND(#REF!,"AAAAAEz3oyI=")</f>
        <v>#REF!</v>
      </c>
      <c r="AJ72" t="e">
        <f>AND(#REF!,"AAAAAEz3oyM=")</f>
        <v>#REF!</v>
      </c>
      <c r="AK72" t="e">
        <f>AND(#REF!,"AAAAAEz3oyQ=")</f>
        <v>#REF!</v>
      </c>
      <c r="AL72" t="e">
        <f>AND(#REF!,"AAAAAEz3oyU=")</f>
        <v>#REF!</v>
      </c>
      <c r="AM72" t="e">
        <f>AND(#REF!,"AAAAAEz3oyY=")</f>
        <v>#REF!</v>
      </c>
      <c r="AN72" t="e">
        <f>AND(#REF!,"AAAAAEz3oyc=")</f>
        <v>#REF!</v>
      </c>
      <c r="AO72" t="e">
        <f>AND(#REF!,"AAAAAEz3oyg=")</f>
        <v>#REF!</v>
      </c>
      <c r="AP72" t="e">
        <f>AND(#REF!,"AAAAAEz3oyk=")</f>
        <v>#REF!</v>
      </c>
      <c r="AQ72" t="e">
        <f>AND(#REF!,"AAAAAEz3oyo=")</f>
        <v>#REF!</v>
      </c>
      <c r="AR72" t="e">
        <f>AND(#REF!,"AAAAAEz3oys=")</f>
        <v>#REF!</v>
      </c>
      <c r="AS72" t="e">
        <f>IF(#REF!,"AAAAAEz3oyw=",0)</f>
        <v>#REF!</v>
      </c>
      <c r="AT72" t="e">
        <f>AND(#REF!,"AAAAAEz3oy0=")</f>
        <v>#REF!</v>
      </c>
      <c r="AU72" t="e">
        <f>AND(#REF!,"AAAAAEz3oy4=")</f>
        <v>#REF!</v>
      </c>
      <c r="AV72" t="e">
        <f>AND(#REF!,"AAAAAEz3oy8=")</f>
        <v>#REF!</v>
      </c>
      <c r="AW72" t="e">
        <f>AND(#REF!,"AAAAAEz3ozA=")</f>
        <v>#REF!</v>
      </c>
      <c r="AX72" t="e">
        <f>AND(#REF!,"AAAAAEz3ozE=")</f>
        <v>#REF!</v>
      </c>
      <c r="AY72" t="e">
        <f>AND(#REF!,"AAAAAEz3ozI=")</f>
        <v>#REF!</v>
      </c>
      <c r="AZ72" t="e">
        <f>AND(#REF!,"AAAAAEz3ozM=")</f>
        <v>#REF!</v>
      </c>
      <c r="BA72" t="e">
        <f>AND(#REF!,"AAAAAEz3ozQ=")</f>
        <v>#REF!</v>
      </c>
      <c r="BB72" t="e">
        <f>AND(#REF!,"AAAAAEz3ozU=")</f>
        <v>#REF!</v>
      </c>
      <c r="BC72" t="e">
        <f>AND(#REF!,"AAAAAEz3ozY=")</f>
        <v>#REF!</v>
      </c>
      <c r="BD72" t="e">
        <f>AND(#REF!,"AAAAAEz3ozc=")</f>
        <v>#REF!</v>
      </c>
      <c r="BE72" t="e">
        <f>AND(#REF!,"AAAAAEz3ozg=")</f>
        <v>#REF!</v>
      </c>
      <c r="BF72" t="e">
        <f>AND(#REF!,"AAAAAEz3ozk=")</f>
        <v>#REF!</v>
      </c>
      <c r="BG72" t="e">
        <f>AND(#REF!,"AAAAAEz3ozo=")</f>
        <v>#REF!</v>
      </c>
      <c r="BH72" t="e">
        <f>AND(#REF!,"AAAAAEz3ozs=")</f>
        <v>#REF!</v>
      </c>
      <c r="BI72" t="e">
        <f>AND(#REF!,"AAAAAEz3ozw=")</f>
        <v>#REF!</v>
      </c>
      <c r="BJ72" t="e">
        <f>IF(#REF!,"AAAAAEz3oz0=",0)</f>
        <v>#REF!</v>
      </c>
      <c r="BK72" t="e">
        <f>AND(#REF!,"AAAAAEz3oz4=")</f>
        <v>#REF!</v>
      </c>
      <c r="BL72" t="e">
        <f>AND(#REF!,"AAAAAEz3oz8=")</f>
        <v>#REF!</v>
      </c>
      <c r="BM72" t="e">
        <f>AND(#REF!,"AAAAAEz3o0A=")</f>
        <v>#REF!</v>
      </c>
      <c r="BN72" t="e">
        <f>AND(#REF!,"AAAAAEz3o0E=")</f>
        <v>#REF!</v>
      </c>
      <c r="BO72" t="e">
        <f>AND(#REF!,"AAAAAEz3o0I=")</f>
        <v>#REF!</v>
      </c>
      <c r="BP72" t="e">
        <f>AND(#REF!,"AAAAAEz3o0M=")</f>
        <v>#REF!</v>
      </c>
      <c r="BQ72" t="e">
        <f>AND(#REF!,"AAAAAEz3o0Q=")</f>
        <v>#REF!</v>
      </c>
      <c r="BR72" t="e">
        <f>AND(#REF!,"AAAAAEz3o0U=")</f>
        <v>#REF!</v>
      </c>
      <c r="BS72" t="e">
        <f>AND(#REF!,"AAAAAEz3o0Y=")</f>
        <v>#REF!</v>
      </c>
      <c r="BT72" t="e">
        <f>AND(#REF!,"AAAAAEz3o0c=")</f>
        <v>#REF!</v>
      </c>
      <c r="BU72" t="e">
        <f>AND(#REF!,"AAAAAEz3o0g=")</f>
        <v>#REF!</v>
      </c>
      <c r="BV72" t="e">
        <f>AND(#REF!,"AAAAAEz3o0k=")</f>
        <v>#REF!</v>
      </c>
      <c r="BW72" t="e">
        <f>AND(#REF!,"AAAAAEz3o0o=")</f>
        <v>#REF!</v>
      </c>
      <c r="BX72" t="e">
        <f>AND(#REF!,"AAAAAEz3o0s=")</f>
        <v>#REF!</v>
      </c>
      <c r="BY72" t="e">
        <f>AND(#REF!,"AAAAAEz3o0w=")</f>
        <v>#REF!</v>
      </c>
      <c r="BZ72" t="e">
        <f>AND(#REF!,"AAAAAEz3o00=")</f>
        <v>#REF!</v>
      </c>
      <c r="CA72" t="e">
        <f>IF(#REF!,"AAAAAEz3o04=",0)</f>
        <v>#REF!</v>
      </c>
      <c r="CB72" t="e">
        <f>AND(#REF!,"AAAAAEz3o08=")</f>
        <v>#REF!</v>
      </c>
      <c r="CC72" t="e">
        <f>AND(#REF!,"AAAAAEz3o1A=")</f>
        <v>#REF!</v>
      </c>
      <c r="CD72" t="e">
        <f>AND(#REF!,"AAAAAEz3o1E=")</f>
        <v>#REF!</v>
      </c>
      <c r="CE72" t="e">
        <f>AND(#REF!,"AAAAAEz3o1I=")</f>
        <v>#REF!</v>
      </c>
      <c r="CF72" t="e">
        <f>AND(#REF!,"AAAAAEz3o1M=")</f>
        <v>#REF!</v>
      </c>
      <c r="CG72" t="e">
        <f>AND(#REF!,"AAAAAEz3o1Q=")</f>
        <v>#REF!</v>
      </c>
      <c r="CH72" t="e">
        <f>AND(#REF!,"AAAAAEz3o1U=")</f>
        <v>#REF!</v>
      </c>
      <c r="CI72" t="e">
        <f>AND(#REF!,"AAAAAEz3o1Y=")</f>
        <v>#REF!</v>
      </c>
      <c r="CJ72" t="e">
        <f>AND(#REF!,"AAAAAEz3o1c=")</f>
        <v>#REF!</v>
      </c>
      <c r="CK72" t="e">
        <f>AND(#REF!,"AAAAAEz3o1g=")</f>
        <v>#REF!</v>
      </c>
      <c r="CL72" t="e">
        <f>AND(#REF!,"AAAAAEz3o1k=")</f>
        <v>#REF!</v>
      </c>
      <c r="CM72" t="e">
        <f>AND(#REF!,"AAAAAEz3o1o=")</f>
        <v>#REF!</v>
      </c>
      <c r="CN72" t="e">
        <f>AND(#REF!,"AAAAAEz3o1s=")</f>
        <v>#REF!</v>
      </c>
      <c r="CO72" t="e">
        <f>AND(#REF!,"AAAAAEz3o1w=")</f>
        <v>#REF!</v>
      </c>
      <c r="CP72" t="e">
        <f>AND(#REF!,"AAAAAEz3o10=")</f>
        <v>#REF!</v>
      </c>
      <c r="CQ72" t="e">
        <f>AND(#REF!,"AAAAAEz3o14=")</f>
        <v>#REF!</v>
      </c>
      <c r="CR72" t="e">
        <f>IF(#REF!,"AAAAAEz3o18=",0)</f>
        <v>#REF!</v>
      </c>
      <c r="CS72" t="e">
        <f>AND(#REF!,"AAAAAEz3o2A=")</f>
        <v>#REF!</v>
      </c>
      <c r="CT72" t="e">
        <f>AND(#REF!,"AAAAAEz3o2E=")</f>
        <v>#REF!</v>
      </c>
      <c r="CU72" t="e">
        <f>AND(#REF!,"AAAAAEz3o2I=")</f>
        <v>#REF!</v>
      </c>
      <c r="CV72" t="e">
        <f>AND(#REF!,"AAAAAEz3o2M=")</f>
        <v>#REF!</v>
      </c>
      <c r="CW72" t="e">
        <f>AND(#REF!,"AAAAAEz3o2Q=")</f>
        <v>#REF!</v>
      </c>
      <c r="CX72" t="e">
        <f>AND(#REF!,"AAAAAEz3o2U=")</f>
        <v>#REF!</v>
      </c>
      <c r="CY72" t="e">
        <f>AND(#REF!,"AAAAAEz3o2Y=")</f>
        <v>#REF!</v>
      </c>
      <c r="CZ72" t="e">
        <f>AND(#REF!,"AAAAAEz3o2c=")</f>
        <v>#REF!</v>
      </c>
      <c r="DA72" t="e">
        <f>AND(#REF!,"AAAAAEz3o2g=")</f>
        <v>#REF!</v>
      </c>
      <c r="DB72" t="e">
        <f>AND(#REF!,"AAAAAEz3o2k=")</f>
        <v>#REF!</v>
      </c>
      <c r="DC72" t="e">
        <f>AND(#REF!,"AAAAAEz3o2o=")</f>
        <v>#REF!</v>
      </c>
      <c r="DD72" t="e">
        <f>AND(#REF!,"AAAAAEz3o2s=")</f>
        <v>#REF!</v>
      </c>
      <c r="DE72" t="e">
        <f>AND(#REF!,"AAAAAEz3o2w=")</f>
        <v>#REF!</v>
      </c>
      <c r="DF72" t="e">
        <f>AND(#REF!,"AAAAAEz3o20=")</f>
        <v>#REF!</v>
      </c>
      <c r="DG72" t="e">
        <f>AND(#REF!,"AAAAAEz3o24=")</f>
        <v>#REF!</v>
      </c>
      <c r="DH72" t="e">
        <f>AND(#REF!,"AAAAAEz3o28=")</f>
        <v>#REF!</v>
      </c>
      <c r="DI72" t="e">
        <f>IF(#REF!,"AAAAAEz3o3A=",0)</f>
        <v>#REF!</v>
      </c>
      <c r="DJ72" t="e">
        <f>AND(#REF!,"AAAAAEz3o3E=")</f>
        <v>#REF!</v>
      </c>
      <c r="DK72" t="e">
        <f>AND(#REF!,"AAAAAEz3o3I=")</f>
        <v>#REF!</v>
      </c>
      <c r="DL72" t="e">
        <f>AND(#REF!,"AAAAAEz3o3M=")</f>
        <v>#REF!</v>
      </c>
      <c r="DM72" t="e">
        <f>AND(#REF!,"AAAAAEz3o3Q=")</f>
        <v>#REF!</v>
      </c>
      <c r="DN72" t="e">
        <f>AND(#REF!,"AAAAAEz3o3U=")</f>
        <v>#REF!</v>
      </c>
      <c r="DO72" t="e">
        <f>AND(#REF!,"AAAAAEz3o3Y=")</f>
        <v>#REF!</v>
      </c>
      <c r="DP72" t="e">
        <f>AND(#REF!,"AAAAAEz3o3c=")</f>
        <v>#REF!</v>
      </c>
      <c r="DQ72" t="e">
        <f>AND(#REF!,"AAAAAEz3o3g=")</f>
        <v>#REF!</v>
      </c>
      <c r="DR72" t="e">
        <f>AND(#REF!,"AAAAAEz3o3k=")</f>
        <v>#REF!</v>
      </c>
      <c r="DS72" t="e">
        <f>AND(#REF!,"AAAAAEz3o3o=")</f>
        <v>#REF!</v>
      </c>
      <c r="DT72" t="e">
        <f>AND(#REF!,"AAAAAEz3o3s=")</f>
        <v>#REF!</v>
      </c>
      <c r="DU72" t="e">
        <f>AND(#REF!,"AAAAAEz3o3w=")</f>
        <v>#REF!</v>
      </c>
      <c r="DV72" t="e">
        <f>AND(#REF!,"AAAAAEz3o30=")</f>
        <v>#REF!</v>
      </c>
      <c r="DW72" t="e">
        <f>AND(#REF!,"AAAAAEz3o34=")</f>
        <v>#REF!</v>
      </c>
      <c r="DX72" t="e">
        <f>AND(#REF!,"AAAAAEz3o38=")</f>
        <v>#REF!</v>
      </c>
      <c r="DY72" t="e">
        <f>AND(#REF!,"AAAAAEz3o4A=")</f>
        <v>#REF!</v>
      </c>
      <c r="DZ72" t="e">
        <f>IF(#REF!,"AAAAAEz3o4E=",0)</f>
        <v>#REF!</v>
      </c>
      <c r="EA72" t="e">
        <f>AND(#REF!,"AAAAAEz3o4I=")</f>
        <v>#REF!</v>
      </c>
      <c r="EB72" t="e">
        <f>AND(#REF!,"AAAAAEz3o4M=")</f>
        <v>#REF!</v>
      </c>
      <c r="EC72" t="e">
        <f>AND(#REF!,"AAAAAEz3o4Q=")</f>
        <v>#REF!</v>
      </c>
      <c r="ED72" t="e">
        <f>AND(#REF!,"AAAAAEz3o4U=")</f>
        <v>#REF!</v>
      </c>
      <c r="EE72" t="e">
        <f>AND(#REF!,"AAAAAEz3o4Y=")</f>
        <v>#REF!</v>
      </c>
      <c r="EF72" t="e">
        <f>AND(#REF!,"AAAAAEz3o4c=")</f>
        <v>#REF!</v>
      </c>
      <c r="EG72" t="e">
        <f>AND(#REF!,"AAAAAEz3o4g=")</f>
        <v>#REF!</v>
      </c>
      <c r="EH72" t="e">
        <f>AND(#REF!,"AAAAAEz3o4k=")</f>
        <v>#REF!</v>
      </c>
      <c r="EI72" t="e">
        <f>AND(#REF!,"AAAAAEz3o4o=")</f>
        <v>#REF!</v>
      </c>
      <c r="EJ72" t="e">
        <f>AND(#REF!,"AAAAAEz3o4s=")</f>
        <v>#REF!</v>
      </c>
      <c r="EK72" t="e">
        <f>AND(#REF!,"AAAAAEz3o4w=")</f>
        <v>#REF!</v>
      </c>
      <c r="EL72" t="e">
        <f>AND(#REF!,"AAAAAEz3o40=")</f>
        <v>#REF!</v>
      </c>
      <c r="EM72" t="e">
        <f>AND(#REF!,"AAAAAEz3o44=")</f>
        <v>#REF!</v>
      </c>
      <c r="EN72" t="e">
        <f>AND(#REF!,"AAAAAEz3o48=")</f>
        <v>#REF!</v>
      </c>
      <c r="EO72" t="e">
        <f>AND(#REF!,"AAAAAEz3o5A=")</f>
        <v>#REF!</v>
      </c>
      <c r="EP72" t="e">
        <f>AND(#REF!,"AAAAAEz3o5E=")</f>
        <v>#REF!</v>
      </c>
      <c r="EQ72" t="e">
        <f>IF(#REF!,"AAAAAEz3o5I=",0)</f>
        <v>#REF!</v>
      </c>
      <c r="ER72" t="e">
        <f>AND(#REF!,"AAAAAEz3o5M=")</f>
        <v>#REF!</v>
      </c>
      <c r="ES72" t="e">
        <f>AND(#REF!,"AAAAAEz3o5Q=")</f>
        <v>#REF!</v>
      </c>
      <c r="ET72" t="e">
        <f>AND(#REF!,"AAAAAEz3o5U=")</f>
        <v>#REF!</v>
      </c>
      <c r="EU72" t="e">
        <f>AND(#REF!,"AAAAAEz3o5Y=")</f>
        <v>#REF!</v>
      </c>
      <c r="EV72" t="e">
        <f>AND(#REF!,"AAAAAEz3o5c=")</f>
        <v>#REF!</v>
      </c>
      <c r="EW72" t="e">
        <f>AND(#REF!,"AAAAAEz3o5g=")</f>
        <v>#REF!</v>
      </c>
      <c r="EX72" t="e">
        <f>AND(#REF!,"AAAAAEz3o5k=")</f>
        <v>#REF!</v>
      </c>
      <c r="EY72" t="e">
        <f>AND(#REF!,"AAAAAEz3o5o=")</f>
        <v>#REF!</v>
      </c>
      <c r="EZ72" t="e">
        <f>AND(#REF!,"AAAAAEz3o5s=")</f>
        <v>#REF!</v>
      </c>
      <c r="FA72" t="e">
        <f>AND(#REF!,"AAAAAEz3o5w=")</f>
        <v>#REF!</v>
      </c>
      <c r="FB72" t="e">
        <f>AND(#REF!,"AAAAAEz3o50=")</f>
        <v>#REF!</v>
      </c>
      <c r="FC72" t="e">
        <f>AND(#REF!,"AAAAAEz3o54=")</f>
        <v>#REF!</v>
      </c>
      <c r="FD72" t="e">
        <f>AND(#REF!,"AAAAAEz3o58=")</f>
        <v>#REF!</v>
      </c>
      <c r="FE72" t="e">
        <f>AND(#REF!,"AAAAAEz3o6A=")</f>
        <v>#REF!</v>
      </c>
      <c r="FF72" t="e">
        <f>AND(#REF!,"AAAAAEz3o6E=")</f>
        <v>#REF!</v>
      </c>
      <c r="FG72" t="e">
        <f>AND(#REF!,"AAAAAEz3o6I=")</f>
        <v>#REF!</v>
      </c>
      <c r="FH72" t="e">
        <f>IF(#REF!,"AAAAAEz3o6M=",0)</f>
        <v>#REF!</v>
      </c>
      <c r="FI72" t="e">
        <f>AND(#REF!,"AAAAAEz3o6Q=")</f>
        <v>#REF!</v>
      </c>
      <c r="FJ72" t="e">
        <f>AND(#REF!,"AAAAAEz3o6U=")</f>
        <v>#REF!</v>
      </c>
      <c r="FK72" t="e">
        <f>AND(#REF!,"AAAAAEz3o6Y=")</f>
        <v>#REF!</v>
      </c>
      <c r="FL72" t="e">
        <f>AND(#REF!,"AAAAAEz3o6c=")</f>
        <v>#REF!</v>
      </c>
      <c r="FM72" t="e">
        <f>AND(#REF!,"AAAAAEz3o6g=")</f>
        <v>#REF!</v>
      </c>
      <c r="FN72" t="e">
        <f>AND(#REF!,"AAAAAEz3o6k=")</f>
        <v>#REF!</v>
      </c>
      <c r="FO72" t="e">
        <f>AND(#REF!,"AAAAAEz3o6o=")</f>
        <v>#REF!</v>
      </c>
      <c r="FP72" t="e">
        <f>AND(#REF!,"AAAAAEz3o6s=")</f>
        <v>#REF!</v>
      </c>
      <c r="FQ72" t="e">
        <f>AND(#REF!,"AAAAAEz3o6w=")</f>
        <v>#REF!</v>
      </c>
      <c r="FR72" t="e">
        <f>AND(#REF!,"AAAAAEz3o60=")</f>
        <v>#REF!</v>
      </c>
      <c r="FS72" t="e">
        <f>AND(#REF!,"AAAAAEz3o64=")</f>
        <v>#REF!</v>
      </c>
      <c r="FT72" t="e">
        <f>AND(#REF!,"AAAAAEz3o68=")</f>
        <v>#REF!</v>
      </c>
      <c r="FU72" t="e">
        <f>AND(#REF!,"AAAAAEz3o7A=")</f>
        <v>#REF!</v>
      </c>
      <c r="FV72" t="e">
        <f>AND(#REF!,"AAAAAEz3o7E=")</f>
        <v>#REF!</v>
      </c>
      <c r="FW72" t="e">
        <f>AND(#REF!,"AAAAAEz3o7I=")</f>
        <v>#REF!</v>
      </c>
      <c r="FX72" t="e">
        <f>AND(#REF!,"AAAAAEz3o7M=")</f>
        <v>#REF!</v>
      </c>
      <c r="FY72" t="e">
        <f>IF(#REF!,"AAAAAEz3o7Q=",0)</f>
        <v>#REF!</v>
      </c>
      <c r="FZ72" t="e">
        <f>AND(#REF!,"AAAAAEz3o7U=")</f>
        <v>#REF!</v>
      </c>
      <c r="GA72" t="e">
        <f>AND(#REF!,"AAAAAEz3o7Y=")</f>
        <v>#REF!</v>
      </c>
      <c r="GB72" t="e">
        <f>AND(#REF!,"AAAAAEz3o7c=")</f>
        <v>#REF!</v>
      </c>
      <c r="GC72" t="e">
        <f>AND(#REF!,"AAAAAEz3o7g=")</f>
        <v>#REF!</v>
      </c>
      <c r="GD72" t="e">
        <f>AND(#REF!,"AAAAAEz3o7k=")</f>
        <v>#REF!</v>
      </c>
      <c r="GE72" t="e">
        <f>AND(#REF!,"AAAAAEz3o7o=")</f>
        <v>#REF!</v>
      </c>
      <c r="GF72" t="e">
        <f>AND(#REF!,"AAAAAEz3o7s=")</f>
        <v>#REF!</v>
      </c>
      <c r="GG72" t="e">
        <f>AND(#REF!,"AAAAAEz3o7w=")</f>
        <v>#REF!</v>
      </c>
      <c r="GH72" t="e">
        <f>AND(#REF!,"AAAAAEz3o70=")</f>
        <v>#REF!</v>
      </c>
      <c r="GI72" t="e">
        <f>AND(#REF!,"AAAAAEz3o74=")</f>
        <v>#REF!</v>
      </c>
      <c r="GJ72" t="e">
        <f>AND(#REF!,"AAAAAEz3o78=")</f>
        <v>#REF!</v>
      </c>
      <c r="GK72" t="e">
        <f>AND(#REF!,"AAAAAEz3o8A=")</f>
        <v>#REF!</v>
      </c>
      <c r="GL72" t="e">
        <f>AND(#REF!,"AAAAAEz3o8E=")</f>
        <v>#REF!</v>
      </c>
      <c r="GM72" t="e">
        <f>AND(#REF!,"AAAAAEz3o8I=")</f>
        <v>#REF!</v>
      </c>
      <c r="GN72" t="e">
        <f>AND(#REF!,"AAAAAEz3o8M=")</f>
        <v>#REF!</v>
      </c>
      <c r="GO72" t="e">
        <f>AND(#REF!,"AAAAAEz3o8Q=")</f>
        <v>#REF!</v>
      </c>
      <c r="GP72" t="e">
        <f>IF(#REF!,"AAAAAEz3o8U=",0)</f>
        <v>#REF!</v>
      </c>
      <c r="GQ72" t="e">
        <f>AND(#REF!,"AAAAAEz3o8Y=")</f>
        <v>#REF!</v>
      </c>
      <c r="GR72" t="e">
        <f>AND(#REF!,"AAAAAEz3o8c=")</f>
        <v>#REF!</v>
      </c>
      <c r="GS72" t="e">
        <f>AND(#REF!,"AAAAAEz3o8g=")</f>
        <v>#REF!</v>
      </c>
      <c r="GT72" t="e">
        <f>AND(#REF!,"AAAAAEz3o8k=")</f>
        <v>#REF!</v>
      </c>
      <c r="GU72" t="e">
        <f>AND(#REF!,"AAAAAEz3o8o=")</f>
        <v>#REF!</v>
      </c>
      <c r="GV72" t="e">
        <f>AND(#REF!,"AAAAAEz3o8s=")</f>
        <v>#REF!</v>
      </c>
      <c r="GW72" t="e">
        <f>AND(#REF!,"AAAAAEz3o8w=")</f>
        <v>#REF!</v>
      </c>
      <c r="GX72" t="e">
        <f>AND(#REF!,"AAAAAEz3o80=")</f>
        <v>#REF!</v>
      </c>
      <c r="GY72" t="e">
        <f>AND(#REF!,"AAAAAEz3o84=")</f>
        <v>#REF!</v>
      </c>
      <c r="GZ72" t="e">
        <f>AND(#REF!,"AAAAAEz3o88=")</f>
        <v>#REF!</v>
      </c>
      <c r="HA72" t="e">
        <f>AND(#REF!,"AAAAAEz3o9A=")</f>
        <v>#REF!</v>
      </c>
      <c r="HB72" t="e">
        <f>AND(#REF!,"AAAAAEz3o9E=")</f>
        <v>#REF!</v>
      </c>
      <c r="HC72" t="e">
        <f>AND(#REF!,"AAAAAEz3o9I=")</f>
        <v>#REF!</v>
      </c>
      <c r="HD72" t="e">
        <f>AND(#REF!,"AAAAAEz3o9M=")</f>
        <v>#REF!</v>
      </c>
      <c r="HE72" t="e">
        <f>AND(#REF!,"AAAAAEz3o9Q=")</f>
        <v>#REF!</v>
      </c>
      <c r="HF72" t="e">
        <f>AND(#REF!,"AAAAAEz3o9U=")</f>
        <v>#REF!</v>
      </c>
      <c r="HG72" t="e">
        <f>IF(#REF!,"AAAAAEz3o9Y=",0)</f>
        <v>#REF!</v>
      </c>
      <c r="HH72" t="e">
        <f>AND(#REF!,"AAAAAEz3o9c=")</f>
        <v>#REF!</v>
      </c>
      <c r="HI72" t="e">
        <f>AND(#REF!,"AAAAAEz3o9g=")</f>
        <v>#REF!</v>
      </c>
      <c r="HJ72" t="e">
        <f>AND(#REF!,"AAAAAEz3o9k=")</f>
        <v>#REF!</v>
      </c>
      <c r="HK72" t="e">
        <f>AND(#REF!,"AAAAAEz3o9o=")</f>
        <v>#REF!</v>
      </c>
      <c r="HL72" t="e">
        <f>AND(#REF!,"AAAAAEz3o9s=")</f>
        <v>#REF!</v>
      </c>
      <c r="HM72" t="e">
        <f>AND(#REF!,"AAAAAEz3o9w=")</f>
        <v>#REF!</v>
      </c>
      <c r="HN72" t="e">
        <f>AND(#REF!,"AAAAAEz3o90=")</f>
        <v>#REF!</v>
      </c>
      <c r="HO72" t="e">
        <f>AND(#REF!,"AAAAAEz3o94=")</f>
        <v>#REF!</v>
      </c>
      <c r="HP72" t="e">
        <f>AND(#REF!,"AAAAAEz3o98=")</f>
        <v>#REF!</v>
      </c>
      <c r="HQ72" t="e">
        <f>AND(#REF!,"AAAAAEz3o+A=")</f>
        <v>#REF!</v>
      </c>
      <c r="HR72" t="e">
        <f>AND(#REF!,"AAAAAEz3o+E=")</f>
        <v>#REF!</v>
      </c>
      <c r="HS72" t="e">
        <f>AND(#REF!,"AAAAAEz3o+I=")</f>
        <v>#REF!</v>
      </c>
      <c r="HT72" t="e">
        <f>AND(#REF!,"AAAAAEz3o+M=")</f>
        <v>#REF!</v>
      </c>
      <c r="HU72" t="e">
        <f>AND(#REF!,"AAAAAEz3o+Q=")</f>
        <v>#REF!</v>
      </c>
      <c r="HV72" t="e">
        <f>AND(#REF!,"AAAAAEz3o+U=")</f>
        <v>#REF!</v>
      </c>
      <c r="HW72" t="e">
        <f>AND(#REF!,"AAAAAEz3o+Y=")</f>
        <v>#REF!</v>
      </c>
      <c r="HX72" t="e">
        <f>IF(#REF!,"AAAAAEz3o+c=",0)</f>
        <v>#REF!</v>
      </c>
      <c r="HY72" t="e">
        <f>AND(#REF!,"AAAAAEz3o+g=")</f>
        <v>#REF!</v>
      </c>
      <c r="HZ72" t="e">
        <f>AND(#REF!,"AAAAAEz3o+k=")</f>
        <v>#REF!</v>
      </c>
      <c r="IA72" t="e">
        <f>AND(#REF!,"AAAAAEz3o+o=")</f>
        <v>#REF!</v>
      </c>
      <c r="IB72" t="e">
        <f>AND(#REF!,"AAAAAEz3o+s=")</f>
        <v>#REF!</v>
      </c>
      <c r="IC72" t="e">
        <f>AND(#REF!,"AAAAAEz3o+w=")</f>
        <v>#REF!</v>
      </c>
      <c r="ID72" t="e">
        <f>AND(#REF!,"AAAAAEz3o+0=")</f>
        <v>#REF!</v>
      </c>
      <c r="IE72" t="e">
        <f>AND(#REF!,"AAAAAEz3o+4=")</f>
        <v>#REF!</v>
      </c>
      <c r="IF72" t="e">
        <f>AND(#REF!,"AAAAAEz3o+8=")</f>
        <v>#REF!</v>
      </c>
      <c r="IG72" t="e">
        <f>AND(#REF!,"AAAAAEz3o/A=")</f>
        <v>#REF!</v>
      </c>
      <c r="IH72" t="e">
        <f>AND(#REF!,"AAAAAEz3o/E=")</f>
        <v>#REF!</v>
      </c>
      <c r="II72" t="e">
        <f>AND(#REF!,"AAAAAEz3o/I=")</f>
        <v>#REF!</v>
      </c>
      <c r="IJ72" t="e">
        <f>AND(#REF!,"AAAAAEz3o/M=")</f>
        <v>#REF!</v>
      </c>
      <c r="IK72" t="e">
        <f>AND(#REF!,"AAAAAEz3o/Q=")</f>
        <v>#REF!</v>
      </c>
      <c r="IL72" t="e">
        <f>AND(#REF!,"AAAAAEz3o/U=")</f>
        <v>#REF!</v>
      </c>
      <c r="IM72" t="e">
        <f>AND(#REF!,"AAAAAEz3o/Y=")</f>
        <v>#REF!</v>
      </c>
      <c r="IN72" t="e">
        <f>AND(#REF!,"AAAAAEz3o/c=")</f>
        <v>#REF!</v>
      </c>
      <c r="IO72" t="e">
        <f>IF(#REF!,"AAAAAEz3o/g=",0)</f>
        <v>#REF!</v>
      </c>
      <c r="IP72" t="e">
        <f>AND(#REF!,"AAAAAEz3o/k=")</f>
        <v>#REF!</v>
      </c>
      <c r="IQ72" t="e">
        <f>AND(#REF!,"AAAAAEz3o/o=")</f>
        <v>#REF!</v>
      </c>
      <c r="IR72" t="e">
        <f>AND(#REF!,"AAAAAEz3o/s=")</f>
        <v>#REF!</v>
      </c>
      <c r="IS72" t="e">
        <f>AND(#REF!,"AAAAAEz3o/w=")</f>
        <v>#REF!</v>
      </c>
      <c r="IT72" t="e">
        <f>AND(#REF!,"AAAAAEz3o/0=")</f>
        <v>#REF!</v>
      </c>
      <c r="IU72" t="e">
        <f>AND(#REF!,"AAAAAEz3o/4=")</f>
        <v>#REF!</v>
      </c>
      <c r="IV72" t="e">
        <f>AND(#REF!,"AAAAAEz3o/8=")</f>
        <v>#REF!</v>
      </c>
    </row>
    <row r="73" spans="1:256" x14ac:dyDescent="0.25">
      <c r="A73" t="e">
        <f>AND(#REF!,"AAAAAH0b9gA=")</f>
        <v>#REF!</v>
      </c>
      <c r="B73" t="e">
        <f>AND(#REF!,"AAAAAH0b9gE=")</f>
        <v>#REF!</v>
      </c>
      <c r="C73" t="e">
        <f>AND(#REF!,"AAAAAH0b9gI=")</f>
        <v>#REF!</v>
      </c>
      <c r="D73" t="e">
        <f>AND(#REF!,"AAAAAH0b9gM=")</f>
        <v>#REF!</v>
      </c>
      <c r="E73" t="e">
        <f>AND(#REF!,"AAAAAH0b9gQ=")</f>
        <v>#REF!</v>
      </c>
      <c r="F73" t="e">
        <f>AND(#REF!,"AAAAAH0b9gU=")</f>
        <v>#REF!</v>
      </c>
      <c r="G73" t="e">
        <f>AND(#REF!,"AAAAAH0b9gY=")</f>
        <v>#REF!</v>
      </c>
      <c r="H73" t="e">
        <f>AND(#REF!,"AAAAAH0b9gc=")</f>
        <v>#REF!</v>
      </c>
      <c r="I73" t="e">
        <f>AND(#REF!,"AAAAAH0b9gg=")</f>
        <v>#REF!</v>
      </c>
      <c r="J73" t="e">
        <f>IF(#REF!,"AAAAAH0b9gk=",0)</f>
        <v>#REF!</v>
      </c>
      <c r="K73" t="e">
        <f>AND(#REF!,"AAAAAH0b9go=")</f>
        <v>#REF!</v>
      </c>
      <c r="L73" t="e">
        <f>AND(#REF!,"AAAAAH0b9gs=")</f>
        <v>#REF!</v>
      </c>
      <c r="M73" t="e">
        <f>AND(#REF!,"AAAAAH0b9gw=")</f>
        <v>#REF!</v>
      </c>
      <c r="N73" t="e">
        <f>AND(#REF!,"AAAAAH0b9g0=")</f>
        <v>#REF!</v>
      </c>
      <c r="O73" t="e">
        <f>AND(#REF!,"AAAAAH0b9g4=")</f>
        <v>#REF!</v>
      </c>
      <c r="P73" t="e">
        <f>AND(#REF!,"AAAAAH0b9g8=")</f>
        <v>#REF!</v>
      </c>
      <c r="Q73" t="e">
        <f>AND(#REF!,"AAAAAH0b9hA=")</f>
        <v>#REF!</v>
      </c>
      <c r="R73" t="e">
        <f>AND(#REF!,"AAAAAH0b9hE=")</f>
        <v>#REF!</v>
      </c>
      <c r="S73" t="e">
        <f>AND(#REF!,"AAAAAH0b9hI=")</f>
        <v>#REF!</v>
      </c>
      <c r="T73" t="e">
        <f>AND(#REF!,"AAAAAH0b9hM=")</f>
        <v>#REF!</v>
      </c>
      <c r="U73" t="e">
        <f>AND(#REF!,"AAAAAH0b9hQ=")</f>
        <v>#REF!</v>
      </c>
      <c r="V73" t="e">
        <f>AND(#REF!,"AAAAAH0b9hU=")</f>
        <v>#REF!</v>
      </c>
      <c r="W73" t="e">
        <f>AND(#REF!,"AAAAAH0b9hY=")</f>
        <v>#REF!</v>
      </c>
      <c r="X73" t="e">
        <f>AND(#REF!,"AAAAAH0b9hc=")</f>
        <v>#REF!</v>
      </c>
      <c r="Y73" t="e">
        <f>AND(#REF!,"AAAAAH0b9hg=")</f>
        <v>#REF!</v>
      </c>
      <c r="Z73" t="e">
        <f>AND(#REF!,"AAAAAH0b9hk=")</f>
        <v>#REF!</v>
      </c>
      <c r="AA73" t="e">
        <f>IF(#REF!,"AAAAAH0b9ho=",0)</f>
        <v>#REF!</v>
      </c>
      <c r="AB73" t="e">
        <f>AND(#REF!,"AAAAAH0b9hs=")</f>
        <v>#REF!</v>
      </c>
      <c r="AC73" t="e">
        <f>AND(#REF!,"AAAAAH0b9hw=")</f>
        <v>#REF!</v>
      </c>
      <c r="AD73" t="e">
        <f>AND(#REF!,"AAAAAH0b9h0=")</f>
        <v>#REF!</v>
      </c>
      <c r="AE73" t="e">
        <f>AND(#REF!,"AAAAAH0b9h4=")</f>
        <v>#REF!</v>
      </c>
      <c r="AF73" t="e">
        <f>AND(#REF!,"AAAAAH0b9h8=")</f>
        <v>#REF!</v>
      </c>
      <c r="AG73" t="e">
        <f>AND(#REF!,"AAAAAH0b9iA=")</f>
        <v>#REF!</v>
      </c>
      <c r="AH73" t="e">
        <f>AND(#REF!,"AAAAAH0b9iE=")</f>
        <v>#REF!</v>
      </c>
      <c r="AI73" t="e">
        <f>AND(#REF!,"AAAAAH0b9iI=")</f>
        <v>#REF!</v>
      </c>
      <c r="AJ73" t="e">
        <f>AND(#REF!,"AAAAAH0b9iM=")</f>
        <v>#REF!</v>
      </c>
      <c r="AK73" t="e">
        <f>AND(#REF!,"AAAAAH0b9iQ=")</f>
        <v>#REF!</v>
      </c>
      <c r="AL73" t="e">
        <f>AND(#REF!,"AAAAAH0b9iU=")</f>
        <v>#REF!</v>
      </c>
      <c r="AM73" t="e">
        <f>AND(#REF!,"AAAAAH0b9iY=")</f>
        <v>#REF!</v>
      </c>
      <c r="AN73" t="e">
        <f>AND(#REF!,"AAAAAH0b9ic=")</f>
        <v>#REF!</v>
      </c>
      <c r="AO73" t="e">
        <f>AND(#REF!,"AAAAAH0b9ig=")</f>
        <v>#REF!</v>
      </c>
      <c r="AP73" t="e">
        <f>AND(#REF!,"AAAAAH0b9ik=")</f>
        <v>#REF!</v>
      </c>
      <c r="AQ73" t="e">
        <f>AND(#REF!,"AAAAAH0b9io=")</f>
        <v>#REF!</v>
      </c>
      <c r="AR73" t="e">
        <f>IF(#REF!,"AAAAAH0b9is=",0)</f>
        <v>#REF!</v>
      </c>
      <c r="AS73" t="e">
        <f>AND(#REF!,"AAAAAH0b9iw=")</f>
        <v>#REF!</v>
      </c>
      <c r="AT73" t="e">
        <f>AND(#REF!,"AAAAAH0b9i0=")</f>
        <v>#REF!</v>
      </c>
      <c r="AU73" t="e">
        <f>AND(#REF!,"AAAAAH0b9i4=")</f>
        <v>#REF!</v>
      </c>
      <c r="AV73" t="e">
        <f>AND(#REF!,"AAAAAH0b9i8=")</f>
        <v>#REF!</v>
      </c>
      <c r="AW73" t="e">
        <f>AND(#REF!,"AAAAAH0b9jA=")</f>
        <v>#REF!</v>
      </c>
      <c r="AX73" t="e">
        <f>AND(#REF!,"AAAAAH0b9jE=")</f>
        <v>#REF!</v>
      </c>
      <c r="AY73" t="e">
        <f>AND(#REF!,"AAAAAH0b9jI=")</f>
        <v>#REF!</v>
      </c>
      <c r="AZ73" t="e">
        <f>AND(#REF!,"AAAAAH0b9jM=")</f>
        <v>#REF!</v>
      </c>
      <c r="BA73" t="e">
        <f>AND(#REF!,"AAAAAH0b9jQ=")</f>
        <v>#REF!</v>
      </c>
      <c r="BB73" t="e">
        <f>AND(#REF!,"AAAAAH0b9jU=")</f>
        <v>#REF!</v>
      </c>
      <c r="BC73" t="e">
        <f>AND(#REF!,"AAAAAH0b9jY=")</f>
        <v>#REF!</v>
      </c>
      <c r="BD73" t="e">
        <f>AND(#REF!,"AAAAAH0b9jc=")</f>
        <v>#REF!</v>
      </c>
      <c r="BE73" t="e">
        <f>AND(#REF!,"AAAAAH0b9jg=")</f>
        <v>#REF!</v>
      </c>
      <c r="BF73" t="e">
        <f>AND(#REF!,"AAAAAH0b9jk=")</f>
        <v>#REF!</v>
      </c>
      <c r="BG73" t="e">
        <f>AND(#REF!,"AAAAAH0b9jo=")</f>
        <v>#REF!</v>
      </c>
      <c r="BH73" t="e">
        <f>AND(#REF!,"AAAAAH0b9js=")</f>
        <v>#REF!</v>
      </c>
      <c r="BI73" t="e">
        <f>IF(#REF!,"AAAAAH0b9jw=",0)</f>
        <v>#REF!</v>
      </c>
      <c r="BJ73" t="e">
        <f>AND(#REF!,"AAAAAH0b9j0=")</f>
        <v>#REF!</v>
      </c>
      <c r="BK73" t="e">
        <f>AND(#REF!,"AAAAAH0b9j4=")</f>
        <v>#REF!</v>
      </c>
      <c r="BL73" t="e">
        <f>AND(#REF!,"AAAAAH0b9j8=")</f>
        <v>#REF!</v>
      </c>
      <c r="BM73" t="e">
        <f>AND(#REF!,"AAAAAH0b9kA=")</f>
        <v>#REF!</v>
      </c>
      <c r="BN73" t="e">
        <f>AND(#REF!,"AAAAAH0b9kE=")</f>
        <v>#REF!</v>
      </c>
      <c r="BO73" t="e">
        <f>AND(#REF!,"AAAAAH0b9kI=")</f>
        <v>#REF!</v>
      </c>
      <c r="BP73" t="e">
        <f>AND(#REF!,"AAAAAH0b9kM=")</f>
        <v>#REF!</v>
      </c>
      <c r="BQ73" t="e">
        <f>AND(#REF!,"AAAAAH0b9kQ=")</f>
        <v>#REF!</v>
      </c>
      <c r="BR73" t="e">
        <f>AND(#REF!,"AAAAAH0b9kU=")</f>
        <v>#REF!</v>
      </c>
      <c r="BS73" t="e">
        <f>AND(#REF!,"AAAAAH0b9kY=")</f>
        <v>#REF!</v>
      </c>
      <c r="BT73" t="e">
        <f>AND(#REF!,"AAAAAH0b9kc=")</f>
        <v>#REF!</v>
      </c>
      <c r="BU73" t="e">
        <f>AND(#REF!,"AAAAAH0b9kg=")</f>
        <v>#REF!</v>
      </c>
      <c r="BV73" t="e">
        <f>AND(#REF!,"AAAAAH0b9kk=")</f>
        <v>#REF!</v>
      </c>
      <c r="BW73" t="e">
        <f>AND(#REF!,"AAAAAH0b9ko=")</f>
        <v>#REF!</v>
      </c>
      <c r="BX73" t="e">
        <f>AND(#REF!,"AAAAAH0b9ks=")</f>
        <v>#REF!</v>
      </c>
      <c r="BY73" t="e">
        <f>AND(#REF!,"AAAAAH0b9kw=")</f>
        <v>#REF!</v>
      </c>
      <c r="BZ73" t="e">
        <f>IF(#REF!,"AAAAAH0b9k0=",0)</f>
        <v>#REF!</v>
      </c>
      <c r="CA73" t="e">
        <f>AND(#REF!,"AAAAAH0b9k4=")</f>
        <v>#REF!</v>
      </c>
      <c r="CB73" t="e">
        <f>AND(#REF!,"AAAAAH0b9k8=")</f>
        <v>#REF!</v>
      </c>
      <c r="CC73" t="e">
        <f>AND(#REF!,"AAAAAH0b9lA=")</f>
        <v>#REF!</v>
      </c>
      <c r="CD73" t="e">
        <f>AND(#REF!,"AAAAAH0b9lE=")</f>
        <v>#REF!</v>
      </c>
      <c r="CE73" t="e">
        <f>AND(#REF!,"AAAAAH0b9lI=")</f>
        <v>#REF!</v>
      </c>
      <c r="CF73" t="e">
        <f>AND(#REF!,"AAAAAH0b9lM=")</f>
        <v>#REF!</v>
      </c>
      <c r="CG73" t="e">
        <f>AND(#REF!,"AAAAAH0b9lQ=")</f>
        <v>#REF!</v>
      </c>
      <c r="CH73" t="e">
        <f>AND(#REF!,"AAAAAH0b9lU=")</f>
        <v>#REF!</v>
      </c>
      <c r="CI73" t="e">
        <f>AND(#REF!,"AAAAAH0b9lY=")</f>
        <v>#REF!</v>
      </c>
      <c r="CJ73" t="e">
        <f>AND(#REF!,"AAAAAH0b9lc=")</f>
        <v>#REF!</v>
      </c>
      <c r="CK73" t="e">
        <f>AND(#REF!,"AAAAAH0b9lg=")</f>
        <v>#REF!</v>
      </c>
      <c r="CL73" t="e">
        <f>AND(#REF!,"AAAAAH0b9lk=")</f>
        <v>#REF!</v>
      </c>
      <c r="CM73" t="e">
        <f>AND(#REF!,"AAAAAH0b9lo=")</f>
        <v>#REF!</v>
      </c>
      <c r="CN73" t="e">
        <f>AND(#REF!,"AAAAAH0b9ls=")</f>
        <v>#REF!</v>
      </c>
      <c r="CO73" t="e">
        <f>AND(#REF!,"AAAAAH0b9lw=")</f>
        <v>#REF!</v>
      </c>
      <c r="CP73" t="e">
        <f>AND(#REF!,"AAAAAH0b9l0=")</f>
        <v>#REF!</v>
      </c>
      <c r="CQ73" t="e">
        <f>IF(#REF!,"AAAAAH0b9l4=",0)</f>
        <v>#REF!</v>
      </c>
      <c r="CR73" t="e">
        <f>IF(#REF!,"AAAAAH0b9l8=",0)</f>
        <v>#REF!</v>
      </c>
      <c r="CS73" t="e">
        <f>IF(#REF!,"AAAAAH0b9mA=",0)</f>
        <v>#REF!</v>
      </c>
      <c r="CT73" t="e">
        <f>IF(#REF!,"AAAAAH0b9mE=",0)</f>
        <v>#REF!</v>
      </c>
      <c r="CU73" t="e">
        <f>IF(#REF!,"AAAAAH0b9mI=",0)</f>
        <v>#REF!</v>
      </c>
      <c r="CV73" t="e">
        <f>IF(#REF!,"AAAAAH0b9mM=",0)</f>
        <v>#REF!</v>
      </c>
      <c r="CW73" t="e">
        <f>IF(#REF!,"AAAAAH0b9mQ=",0)</f>
        <v>#REF!</v>
      </c>
      <c r="CX73" t="e">
        <f>IF(#REF!,"AAAAAH0b9mU=",0)</f>
        <v>#REF!</v>
      </c>
      <c r="CY73" t="e">
        <f>IF(#REF!,"AAAAAH0b9mY=",0)</f>
        <v>#REF!</v>
      </c>
      <c r="CZ73" t="e">
        <f>IF(#REF!,"AAAAAH0b9mc=",0)</f>
        <v>#REF!</v>
      </c>
      <c r="DA73" t="e">
        <f>IF(#REF!,"AAAAAH0b9mg=",0)</f>
        <v>#REF!</v>
      </c>
      <c r="DB73" t="e">
        <f>IF(#REF!,"AAAAAH0b9mk=",0)</f>
        <v>#REF!</v>
      </c>
      <c r="DC73" t="e">
        <f>IF(#REF!,"AAAAAH0b9mo=",0)</f>
        <v>#REF!</v>
      </c>
      <c r="DD73" t="e">
        <f>IF(#REF!,"AAAAAH0b9ms=",0)</f>
        <v>#REF!</v>
      </c>
      <c r="DE73" t="e">
        <f>IF(#REF!,"AAAAAH0b9mw=",0)</f>
        <v>#REF!</v>
      </c>
      <c r="DF73" t="e">
        <f>IF(#REF!,"AAAAAH0b9m0=",0)</f>
        <v>#REF!</v>
      </c>
      <c r="DG73" s="1" t="s">
        <v>16</v>
      </c>
      <c r="DH73" t="s">
        <v>17</v>
      </c>
      <c r="DI73" s="2" t="s">
        <v>18</v>
      </c>
      <c r="DJ73" s="3" t="s">
        <v>19</v>
      </c>
      <c r="DK73" t="e">
        <f>IF("N",[0]!_xlnm.Print_Area,"AAAAAH0b9nI=")</f>
        <v>#VALUE!</v>
      </c>
      <c r="DL73" t="e">
        <f>IF("N",'2'!_xlnm.Print_Area,"AAAAAH0b9nM=")</f>
        <v>#VALUE!</v>
      </c>
      <c r="DM73" t="e">
        <f>IF("N",[0]!_xlnm.Print_Area,"AAAAAH0b9nQ=")</f>
        <v>#VALUE!</v>
      </c>
      <c r="DN73" t="e">
        <f>IF("N",[0]!_xlnm.Print_Area,"AAAAAH0b9nU=")</f>
        <v>#VALUE!</v>
      </c>
      <c r="DO73" t="e">
        <f>IF("N",'3'!_xlnm.Print_Area,"AAAAAH0b9nY=")</f>
        <v>#VALUE!</v>
      </c>
      <c r="DP73" t="e">
        <f>IF("N",[0]!_xlnm.Print_Area,"AAAAAH0b9nc=")</f>
        <v>#VALUE!</v>
      </c>
      <c r="DQ73" t="e">
        <f>IF("N",[0]!_xlnm.Print_Area,"AAAAAH0b9ng=")</f>
        <v>#VALUE!</v>
      </c>
      <c r="DR73" t="e">
        <f>IF("N",'4'!_xlnm.Print_Area,"AAAAAH0b9nk=")</f>
        <v>#VALUE!</v>
      </c>
      <c r="DS73" t="e">
        <f>IF("N",[0]!_xlnm.Print_Area,"AAAAAH0b9no=")</f>
        <v>#VALUE!</v>
      </c>
      <c r="DT73" t="e">
        <f>IF("N",[0]!_xlnm.Print_Area,"AAAAAH0b9ns=")</f>
        <v>#VALUE!</v>
      </c>
      <c r="DU73" t="e">
        <f>IF("N",'5A'!_xlnm.Print_Area,"AAAAAH0b9nw=")</f>
        <v>#VALUE!</v>
      </c>
      <c r="DV73" t="e">
        <f>IF("N",'5 (Samb. 2)'!_xlnm.Print_Area,"AAAAAH0b9n0=")</f>
        <v>#VALUE!</v>
      </c>
      <c r="DW73" t="e">
        <f>IF("N",[0]!_xlnm.Print_Area,"AAAAAH0b9n4=")</f>
        <v>#VALUE!</v>
      </c>
      <c r="DX73" t="e">
        <f>IF("N",[0]!_xlnm.Print_Area,"AAAAAH0b9n8=")</f>
        <v>#VALUE!</v>
      </c>
      <c r="DY73" t="e">
        <f>IF("N",[0]!_xlnm.Print_Area,"AAAAAH0b9oA=")</f>
        <v>#VALUE!</v>
      </c>
      <c r="DZ73" t="e">
        <f>IF("N",[0]!_xlnm.Print_Area,"AAAAAH0b9oE=")</f>
        <v>#VALUE!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1 </vt:lpstr>
      <vt:lpstr>2</vt:lpstr>
      <vt:lpstr>3</vt:lpstr>
      <vt:lpstr>4</vt:lpstr>
      <vt:lpstr>4 (Samb)</vt:lpstr>
      <vt:lpstr>5A</vt:lpstr>
      <vt:lpstr>5 (Samb. 1)</vt:lpstr>
      <vt:lpstr>5 (Samb. 2)</vt:lpstr>
      <vt:lpstr>'2'!Print_Area</vt:lpstr>
      <vt:lpstr>'3'!Print_Area</vt:lpstr>
      <vt:lpstr>'4'!Print_Area</vt:lpstr>
      <vt:lpstr>'4 (Samb)'!Print_Area</vt:lpstr>
      <vt:lpstr>'5 (Samb. 1)'!Print_Area</vt:lpstr>
      <vt:lpstr>'5 (Samb. 2)'!Print_Area</vt:lpstr>
      <vt:lpstr>'5A'!Print_Area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fauzani.ahmad</dc:creator>
  <cp:lastModifiedBy>Ahmad Azwan Abdullah</cp:lastModifiedBy>
  <cp:lastPrinted>2023-05-10T01:52:17Z</cp:lastPrinted>
  <dcterms:created xsi:type="dcterms:W3CDTF">2010-04-28T04:05:55Z</dcterms:created>
  <dcterms:modified xsi:type="dcterms:W3CDTF">2023-05-10T01:54:10Z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1aYEtlGBpJvRlpQuxj_ENUAud2bCVNwWgHPjhlofe-6s</vt:lpwstr>
  </property>
  <property fmtid="{D5CDD505-2E9C-101B-9397-08002B2CF9AE}" pid="4" name="Google.Documents.RevisionId">
    <vt:lpwstr>13407936376816243530</vt:lpwstr>
  </property>
  <property fmtid="{D5CDD505-2E9C-101B-9397-08002B2CF9AE}" pid="5" name="Google.Documents.PreviousRevisionId">
    <vt:lpwstr>00054516864064255106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